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FECAC32-C8E6-46C6-ACCB-3C2C66874E5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orig" sheetId="1" r:id="rId1"/>
    <sheet name="HOMME" sheetId="15" r:id="rId2"/>
    <sheet name="FEMME" sheetId="14" r:id="rId3"/>
    <sheet name="proteines pures" sheetId="10" r:id="rId4"/>
    <sheet name="CG " sheetId="13" r:id="rId5"/>
    <sheet name="kcal aliment" sheetId="9" r:id="rId6"/>
    <sheet name="Mme_N" sheetId="3" r:id="rId7"/>
    <sheet name="Mme_P" sheetId="4" r:id="rId8"/>
    <sheet name="M_O" sheetId="5" r:id="rId9"/>
    <sheet name="M_J" sheetId="6" r:id="rId10"/>
    <sheet name="M_G21" sheetId="7" r:id="rId11"/>
    <sheet name="AnnaMaria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5" l="1"/>
  <c r="C60" i="15"/>
  <c r="C50" i="15"/>
  <c r="C49" i="15"/>
  <c r="C48" i="15"/>
  <c r="C42" i="15"/>
  <c r="F31" i="15"/>
  <c r="F33" i="15" s="1"/>
  <c r="F35" i="15" s="1"/>
  <c r="F36" i="15" s="1"/>
  <c r="C30" i="15"/>
  <c r="C29" i="15"/>
  <c r="C28" i="15"/>
  <c r="F27" i="15"/>
  <c r="C27" i="15"/>
  <c r="C26" i="15"/>
  <c r="C25" i="15"/>
  <c r="C23" i="15"/>
  <c r="C22" i="15"/>
  <c r="G13" i="15"/>
  <c r="C12" i="15"/>
  <c r="C11" i="15"/>
  <c r="F9" i="15"/>
  <c r="C9" i="15"/>
  <c r="G8" i="15"/>
  <c r="I8" i="15" s="1"/>
  <c r="G7" i="15"/>
  <c r="G6" i="15"/>
  <c r="I6" i="15" s="1"/>
  <c r="C61" i="14"/>
  <c r="C60" i="14"/>
  <c r="C52" i="14"/>
  <c r="C56" i="14" s="1"/>
  <c r="C50" i="14"/>
  <c r="C49" i="14"/>
  <c r="C48" i="14"/>
  <c r="C51" i="14" s="1"/>
  <c r="C58" i="14" s="1"/>
  <c r="C42" i="14"/>
  <c r="F31" i="14"/>
  <c r="F33" i="14" s="1"/>
  <c r="F35" i="14" s="1"/>
  <c r="F36" i="14" s="1"/>
  <c r="C30" i="14"/>
  <c r="C29" i="14"/>
  <c r="C28" i="14"/>
  <c r="F27" i="14"/>
  <c r="C27" i="14"/>
  <c r="C26" i="14"/>
  <c r="C25" i="14"/>
  <c r="C23" i="14"/>
  <c r="C22" i="14"/>
  <c r="G13" i="14"/>
  <c r="C12" i="14"/>
  <c r="C24" i="14" s="1"/>
  <c r="C11" i="14"/>
  <c r="C64" i="14" s="1"/>
  <c r="F9" i="14"/>
  <c r="C9" i="14"/>
  <c r="I8" i="14"/>
  <c r="G8" i="14"/>
  <c r="G7" i="14"/>
  <c r="G6" i="14"/>
  <c r="I6" i="14" s="1"/>
  <c r="F11" i="13"/>
  <c r="F10" i="13"/>
  <c r="F9" i="13"/>
  <c r="F8" i="13"/>
  <c r="F7" i="13"/>
  <c r="J11" i="13"/>
  <c r="J10" i="13"/>
  <c r="J9" i="13"/>
  <c r="J8" i="13"/>
  <c r="J7" i="13"/>
  <c r="F6" i="13"/>
  <c r="J6" i="13"/>
  <c r="I24" i="4"/>
  <c r="E6" i="10"/>
  <c r="F6" i="10" s="1"/>
  <c r="E10" i="10"/>
  <c r="E6" i="9"/>
  <c r="E5" i="9"/>
  <c r="E4" i="9"/>
  <c r="H66" i="7"/>
  <c r="H69" i="7" s="1"/>
  <c r="H63" i="7"/>
  <c r="H62" i="7"/>
  <c r="H52" i="7"/>
  <c r="H51" i="7"/>
  <c r="H50" i="7"/>
  <c r="H54" i="7" s="1"/>
  <c r="H58" i="7" s="1"/>
  <c r="H44" i="7"/>
  <c r="H30" i="7"/>
  <c r="H29" i="7"/>
  <c r="H28" i="7"/>
  <c r="H27" i="7"/>
  <c r="H25" i="7"/>
  <c r="H24" i="7"/>
  <c r="H23" i="7"/>
  <c r="H21" i="7"/>
  <c r="H18" i="7"/>
  <c r="H57" i="7" s="1"/>
  <c r="H12" i="7"/>
  <c r="H33" i="7" s="1"/>
  <c r="H11" i="7"/>
  <c r="H22" i="7" s="1"/>
  <c r="H9" i="7"/>
  <c r="E58" i="1"/>
  <c r="F17" i="7"/>
  <c r="F16" i="7"/>
  <c r="E12" i="7"/>
  <c r="G9" i="14" l="1"/>
  <c r="C31" i="14"/>
  <c r="C52" i="15"/>
  <c r="C56" i="15" s="1"/>
  <c r="G9" i="15"/>
  <c r="C64" i="15"/>
  <c r="C21" i="15"/>
  <c r="C18" i="15"/>
  <c r="C31" i="15"/>
  <c r="C24" i="15"/>
  <c r="I7" i="15"/>
  <c r="C51" i="15"/>
  <c r="C58" i="15" s="1"/>
  <c r="C67" i="14"/>
  <c r="C66" i="14"/>
  <c r="C65" i="14"/>
  <c r="I7" i="14"/>
  <c r="C18" i="14"/>
  <c r="C21" i="14"/>
  <c r="J12" i="13"/>
  <c r="F10" i="10"/>
  <c r="E7" i="9"/>
  <c r="H42" i="7"/>
  <c r="H34" i="7"/>
  <c r="H35" i="7"/>
  <c r="H26" i="7"/>
  <c r="H39" i="7"/>
  <c r="H43" i="7"/>
  <c r="H53" i="7"/>
  <c r="H60" i="7" s="1"/>
  <c r="H67" i="7"/>
  <c r="H40" i="7"/>
  <c r="H68" i="7"/>
  <c r="H41" i="7"/>
  <c r="H45" i="7"/>
  <c r="H24" i="4"/>
  <c r="C67" i="15" l="1"/>
  <c r="C66" i="15"/>
  <c r="C65" i="15"/>
  <c r="C55" i="15"/>
  <c r="C43" i="15"/>
  <c r="C41" i="15"/>
  <c r="C40" i="15"/>
  <c r="C39" i="15"/>
  <c r="C38" i="15"/>
  <c r="C37" i="15"/>
  <c r="C33" i="15"/>
  <c r="C32" i="15"/>
  <c r="C55" i="14"/>
  <c r="C43" i="14"/>
  <c r="C41" i="14"/>
  <c r="C40" i="14"/>
  <c r="C39" i="14"/>
  <c r="C38" i="14"/>
  <c r="C37" i="14"/>
  <c r="C33" i="14"/>
  <c r="C32" i="14"/>
  <c r="F6" i="9"/>
  <c r="F5" i="9"/>
  <c r="F4" i="9"/>
  <c r="H46" i="7"/>
  <c r="H47" i="7"/>
  <c r="I27" i="1"/>
  <c r="J8" i="1"/>
  <c r="J7" i="1"/>
  <c r="J6" i="1"/>
  <c r="C45" i="15" l="1"/>
  <c r="C44" i="15"/>
  <c r="C45" i="14"/>
  <c r="C44" i="14"/>
  <c r="F7" i="9"/>
  <c r="I31" i="1"/>
  <c r="I33" i="1" s="1"/>
  <c r="I35" i="1" s="1"/>
  <c r="I36" i="1" s="1"/>
  <c r="J13" i="1"/>
  <c r="I7" i="8" l="1"/>
  <c r="I6" i="8"/>
  <c r="G24" i="8"/>
  <c r="I9" i="1"/>
  <c r="L8" i="1"/>
  <c r="L7" i="1"/>
  <c r="J9" i="1"/>
  <c r="L6" i="1" l="1"/>
  <c r="D61" i="8"/>
  <c r="C61" i="8"/>
  <c r="D60" i="8"/>
  <c r="C60" i="8"/>
  <c r="D50" i="8"/>
  <c r="C50" i="8"/>
  <c r="D49" i="8"/>
  <c r="C49" i="8"/>
  <c r="D48" i="8"/>
  <c r="C48" i="8"/>
  <c r="C52" i="8" s="1"/>
  <c r="C56" i="8" s="1"/>
  <c r="D42" i="8"/>
  <c r="C42" i="8"/>
  <c r="C30" i="8"/>
  <c r="C29" i="8"/>
  <c r="D28" i="8"/>
  <c r="C28" i="8"/>
  <c r="D27" i="8"/>
  <c r="C27" i="8"/>
  <c r="D26" i="8"/>
  <c r="C26" i="8"/>
  <c r="D25" i="8"/>
  <c r="C25" i="8"/>
  <c r="D23" i="8"/>
  <c r="C23" i="8"/>
  <c r="D22" i="8"/>
  <c r="C22" i="8"/>
  <c r="D12" i="8"/>
  <c r="C12" i="8"/>
  <c r="D11" i="8"/>
  <c r="C11" i="8"/>
  <c r="C64" i="8" s="1"/>
  <c r="D9" i="8"/>
  <c r="C9" i="8"/>
  <c r="C63" i="7"/>
  <c r="C62" i="7"/>
  <c r="C52" i="7"/>
  <c r="C51" i="7"/>
  <c r="C50" i="7"/>
  <c r="C44" i="7"/>
  <c r="C30" i="7"/>
  <c r="C29" i="7"/>
  <c r="C28" i="7"/>
  <c r="C27" i="7"/>
  <c r="C25" i="7"/>
  <c r="C24" i="7"/>
  <c r="C12" i="7"/>
  <c r="C11" i="7"/>
  <c r="C9" i="7"/>
  <c r="J10" i="6"/>
  <c r="G61" i="6"/>
  <c r="G60" i="6"/>
  <c r="G42" i="6"/>
  <c r="G30" i="6"/>
  <c r="G29" i="6"/>
  <c r="G28" i="6"/>
  <c r="G27" i="6"/>
  <c r="G26" i="6"/>
  <c r="G25" i="6"/>
  <c r="G23" i="6"/>
  <c r="G22" i="6"/>
  <c r="G12" i="6"/>
  <c r="G31" i="6" s="1"/>
  <c r="G11" i="6"/>
  <c r="D61" i="6"/>
  <c r="C61" i="6"/>
  <c r="D60" i="6"/>
  <c r="C60" i="6"/>
  <c r="D50" i="6"/>
  <c r="C50" i="6"/>
  <c r="D49" i="6"/>
  <c r="C49" i="6"/>
  <c r="D48" i="6"/>
  <c r="D52" i="6" s="1"/>
  <c r="D56" i="6" s="1"/>
  <c r="C48" i="6"/>
  <c r="C52" i="6" s="1"/>
  <c r="C56" i="6" s="1"/>
  <c r="D42" i="6"/>
  <c r="C42" i="6"/>
  <c r="D30" i="6"/>
  <c r="C30" i="6"/>
  <c r="D29" i="6"/>
  <c r="C29" i="6"/>
  <c r="C28" i="6"/>
  <c r="C27" i="6"/>
  <c r="D26" i="6"/>
  <c r="C26" i="6"/>
  <c r="C25" i="6"/>
  <c r="D23" i="6"/>
  <c r="F23" i="6" s="1"/>
  <c r="G8" i="6" s="1"/>
  <c r="C23" i="6"/>
  <c r="C22" i="6"/>
  <c r="D12" i="6"/>
  <c r="C12" i="6"/>
  <c r="D11" i="6"/>
  <c r="D64" i="6" s="1"/>
  <c r="C11" i="6"/>
  <c r="C64" i="6" s="1"/>
  <c r="D9" i="6"/>
  <c r="C9" i="6"/>
  <c r="F61" i="5"/>
  <c r="F60" i="5"/>
  <c r="F42" i="5"/>
  <c r="F28" i="5"/>
  <c r="F27" i="5"/>
  <c r="F26" i="5"/>
  <c r="F25" i="5"/>
  <c r="F23" i="5"/>
  <c r="F22" i="5"/>
  <c r="F12" i="5"/>
  <c r="F31" i="5" s="1"/>
  <c r="F11" i="5"/>
  <c r="D61" i="5"/>
  <c r="C61" i="5"/>
  <c r="D60" i="5"/>
  <c r="C60" i="5"/>
  <c r="D50" i="5"/>
  <c r="C50" i="5"/>
  <c r="D49" i="5"/>
  <c r="C49" i="5"/>
  <c r="D48" i="5"/>
  <c r="C48" i="5"/>
  <c r="D42" i="5"/>
  <c r="C42" i="5"/>
  <c r="C30" i="5"/>
  <c r="C29" i="5"/>
  <c r="D28" i="5"/>
  <c r="C28" i="5"/>
  <c r="D27" i="5"/>
  <c r="C27" i="5"/>
  <c r="D26" i="5"/>
  <c r="C26" i="5"/>
  <c r="D25" i="5"/>
  <c r="C25" i="5"/>
  <c r="D23" i="5"/>
  <c r="F8" i="5" s="1"/>
  <c r="C23" i="5"/>
  <c r="D22" i="5"/>
  <c r="C22" i="5"/>
  <c r="D12" i="5"/>
  <c r="C12" i="5"/>
  <c r="D11" i="5"/>
  <c r="D64" i="5" s="1"/>
  <c r="C11" i="5"/>
  <c r="C64" i="5" s="1"/>
  <c r="D9" i="5"/>
  <c r="C9" i="5"/>
  <c r="F7" i="4"/>
  <c r="F49" i="5" l="1"/>
  <c r="F48" i="5"/>
  <c r="F50" i="5"/>
  <c r="F9" i="5"/>
  <c r="C21" i="7"/>
  <c r="C23" i="7"/>
  <c r="C22" i="7"/>
  <c r="C52" i="5"/>
  <c r="C56" i="5" s="1"/>
  <c r="C54" i="7"/>
  <c r="C58" i="7" s="1"/>
  <c r="D52" i="8"/>
  <c r="D56" i="8" s="1"/>
  <c r="F64" i="5"/>
  <c r="F67" i="5" s="1"/>
  <c r="D52" i="5"/>
  <c r="D56" i="5" s="1"/>
  <c r="C66" i="7"/>
  <c r="C69" i="7" s="1"/>
  <c r="E11" i="7"/>
  <c r="H7" i="4"/>
  <c r="H9" i="4" s="1"/>
  <c r="H11" i="4" s="1"/>
  <c r="H13" i="4" s="1"/>
  <c r="H14" i="4" s="1"/>
  <c r="C67" i="8"/>
  <c r="C66" i="8"/>
  <c r="C65" i="8"/>
  <c r="D64" i="8"/>
  <c r="D21" i="8"/>
  <c r="C31" i="8"/>
  <c r="C24" i="8"/>
  <c r="D31" i="8"/>
  <c r="D24" i="8"/>
  <c r="C18" i="8"/>
  <c r="D18" i="8"/>
  <c r="C21" i="8"/>
  <c r="C51" i="8"/>
  <c r="C58" i="8" s="1"/>
  <c r="D51" i="8"/>
  <c r="D58" i="8" s="1"/>
  <c r="C33" i="7"/>
  <c r="C26" i="7"/>
  <c r="C18" i="7"/>
  <c r="C53" i="7"/>
  <c r="C60" i="7" s="1"/>
  <c r="G50" i="6"/>
  <c r="G49" i="6"/>
  <c r="G48" i="6"/>
  <c r="G52" i="6" s="1"/>
  <c r="G56" i="6" s="1"/>
  <c r="G9" i="6"/>
  <c r="G64" i="6"/>
  <c r="G67" i="6"/>
  <c r="G66" i="6"/>
  <c r="J5" i="6" s="1"/>
  <c r="G65" i="6"/>
  <c r="G18" i="6"/>
  <c r="G21" i="6"/>
  <c r="G24" i="6"/>
  <c r="C67" i="6"/>
  <c r="C66" i="6"/>
  <c r="C65" i="6"/>
  <c r="D67" i="6"/>
  <c r="D66" i="6"/>
  <c r="D65" i="6"/>
  <c r="C31" i="6"/>
  <c r="C24" i="6"/>
  <c r="C18" i="6"/>
  <c r="D18" i="6"/>
  <c r="C21" i="6"/>
  <c r="C51" i="6"/>
  <c r="C58" i="6" s="1"/>
  <c r="D51" i="6"/>
  <c r="D58" i="6" s="1"/>
  <c r="F66" i="5"/>
  <c r="F65" i="5"/>
  <c r="F18" i="5"/>
  <c r="F21" i="5"/>
  <c r="F24" i="5"/>
  <c r="F51" i="5"/>
  <c r="F58" i="5" s="1"/>
  <c r="C67" i="5"/>
  <c r="C66" i="5"/>
  <c r="C65" i="5"/>
  <c r="D67" i="5"/>
  <c r="D66" i="5"/>
  <c r="D65" i="5"/>
  <c r="C31" i="5"/>
  <c r="C24" i="5"/>
  <c r="D31" i="5"/>
  <c r="D24" i="5"/>
  <c r="C18" i="5"/>
  <c r="D18" i="5"/>
  <c r="C21" i="5"/>
  <c r="D21" i="5"/>
  <c r="C51" i="5"/>
  <c r="C58" i="5" s="1"/>
  <c r="D51" i="5"/>
  <c r="D58" i="5" s="1"/>
  <c r="C61" i="4"/>
  <c r="C60" i="4"/>
  <c r="C50" i="4"/>
  <c r="C49" i="4"/>
  <c r="C48" i="4"/>
  <c r="C42" i="4"/>
  <c r="C28" i="4"/>
  <c r="C27" i="4"/>
  <c r="C26" i="4"/>
  <c r="C25" i="4"/>
  <c r="C23" i="4"/>
  <c r="F8" i="4" s="1"/>
  <c r="F9" i="4" s="1"/>
  <c r="F11" i="4" s="1"/>
  <c r="F13" i="4" s="1"/>
  <c r="F14" i="4" s="1"/>
  <c r="C22" i="4"/>
  <c r="C12" i="4"/>
  <c r="C11" i="4"/>
  <c r="C9" i="4"/>
  <c r="F52" i="5" l="1"/>
  <c r="F56" i="5" s="1"/>
  <c r="C52" i="4"/>
  <c r="C56" i="4" s="1"/>
  <c r="G51" i="6"/>
  <c r="G58" i="6" s="1"/>
  <c r="C68" i="7"/>
  <c r="F28" i="7"/>
  <c r="C67" i="7"/>
  <c r="C21" i="4"/>
  <c r="H19" i="4"/>
  <c r="H20" i="4" s="1"/>
  <c r="C18" i="4"/>
  <c r="C33" i="8"/>
  <c r="C32" i="8"/>
  <c r="D55" i="8"/>
  <c r="D43" i="8"/>
  <c r="D41" i="8"/>
  <c r="D40" i="8"/>
  <c r="D39" i="8"/>
  <c r="D38" i="8"/>
  <c r="D37" i="8"/>
  <c r="C55" i="8"/>
  <c r="C43" i="8"/>
  <c r="C41" i="8"/>
  <c r="C40" i="8"/>
  <c r="C39" i="8"/>
  <c r="C38" i="8"/>
  <c r="C37" i="8"/>
  <c r="D33" i="8"/>
  <c r="D32" i="8"/>
  <c r="D67" i="8"/>
  <c r="D66" i="8"/>
  <c r="D65" i="8"/>
  <c r="C35" i="7"/>
  <c r="C34" i="7"/>
  <c r="F29" i="7" s="1"/>
  <c r="C57" i="7"/>
  <c r="C45" i="7"/>
  <c r="C43" i="7"/>
  <c r="C42" i="7"/>
  <c r="C41" i="7"/>
  <c r="C40" i="7"/>
  <c r="C39" i="7"/>
  <c r="K9" i="6"/>
  <c r="M9" i="6" s="1"/>
  <c r="K8" i="6"/>
  <c r="M8" i="6" s="1"/>
  <c r="K7" i="6"/>
  <c r="G33" i="6"/>
  <c r="G32" i="6"/>
  <c r="G55" i="6"/>
  <c r="G43" i="6"/>
  <c r="G41" i="6"/>
  <c r="G40" i="6"/>
  <c r="G39" i="6"/>
  <c r="G38" i="6"/>
  <c r="G37" i="6"/>
  <c r="D33" i="6"/>
  <c r="D32" i="6"/>
  <c r="C33" i="6"/>
  <c r="C32" i="6"/>
  <c r="D55" i="6"/>
  <c r="D41" i="6"/>
  <c r="D38" i="6"/>
  <c r="C55" i="6"/>
  <c r="C43" i="6"/>
  <c r="C41" i="6"/>
  <c r="C40" i="6"/>
  <c r="C39" i="6"/>
  <c r="C38" i="6"/>
  <c r="C37" i="6"/>
  <c r="F33" i="5"/>
  <c r="F32" i="5"/>
  <c r="F55" i="5"/>
  <c r="F43" i="5"/>
  <c r="F41" i="5"/>
  <c r="F40" i="5"/>
  <c r="F39" i="5"/>
  <c r="F38" i="5"/>
  <c r="F37" i="5"/>
  <c r="D33" i="5"/>
  <c r="D32" i="5"/>
  <c r="C33" i="5"/>
  <c r="C32" i="5"/>
  <c r="D55" i="5"/>
  <c r="D43" i="5"/>
  <c r="D41" i="5"/>
  <c r="D40" i="5"/>
  <c r="D39" i="5"/>
  <c r="D38" i="5"/>
  <c r="D37" i="5"/>
  <c r="C55" i="5"/>
  <c r="C43" i="5"/>
  <c r="C41" i="5"/>
  <c r="C40" i="5"/>
  <c r="C39" i="5"/>
  <c r="C38" i="5"/>
  <c r="C37" i="5"/>
  <c r="C64" i="4"/>
  <c r="C31" i="4"/>
  <c r="C24" i="4"/>
  <c r="C51" i="4"/>
  <c r="C58" i="4" s="1"/>
  <c r="F61" i="3"/>
  <c r="F60" i="3"/>
  <c r="F50" i="3"/>
  <c r="F49" i="3"/>
  <c r="F48" i="3"/>
  <c r="F42" i="3"/>
  <c r="F28" i="3"/>
  <c r="F25" i="3"/>
  <c r="F23" i="3"/>
  <c r="F22" i="3"/>
  <c r="F12" i="3"/>
  <c r="F31" i="3" s="1"/>
  <c r="F11" i="3"/>
  <c r="F64" i="3" s="1"/>
  <c r="F9" i="3"/>
  <c r="D61" i="3"/>
  <c r="C61" i="3"/>
  <c r="D60" i="3"/>
  <c r="C60" i="3"/>
  <c r="D50" i="3"/>
  <c r="C50" i="3"/>
  <c r="D49" i="3"/>
  <c r="C49" i="3"/>
  <c r="D48" i="3"/>
  <c r="C48" i="3"/>
  <c r="C52" i="3" s="1"/>
  <c r="C56" i="3" s="1"/>
  <c r="D42" i="3"/>
  <c r="C42" i="3"/>
  <c r="C30" i="3"/>
  <c r="C29" i="3"/>
  <c r="D28" i="3"/>
  <c r="C28" i="3"/>
  <c r="C27" i="3"/>
  <c r="C26" i="3"/>
  <c r="D25" i="3"/>
  <c r="C25" i="3"/>
  <c r="D23" i="3"/>
  <c r="C23" i="3"/>
  <c r="D22" i="3"/>
  <c r="C22" i="3"/>
  <c r="D12" i="3"/>
  <c r="C12" i="3"/>
  <c r="D11" i="3"/>
  <c r="D64" i="3" s="1"/>
  <c r="C11" i="3"/>
  <c r="C64" i="3" s="1"/>
  <c r="D9" i="3"/>
  <c r="C9" i="3"/>
  <c r="D52" i="3" l="1"/>
  <c r="D56" i="3" s="1"/>
  <c r="F52" i="3"/>
  <c r="F56" i="3" s="1"/>
  <c r="F39" i="6"/>
  <c r="C45" i="8"/>
  <c r="C44" i="8"/>
  <c r="D45" i="8"/>
  <c r="D44" i="8"/>
  <c r="C47" i="7"/>
  <c r="C46" i="7"/>
  <c r="M7" i="6"/>
  <c r="K10" i="6"/>
  <c r="G45" i="6"/>
  <c r="G44" i="6"/>
  <c r="C45" i="6"/>
  <c r="C44" i="6"/>
  <c r="D45" i="6"/>
  <c r="D44" i="6"/>
  <c r="F45" i="5"/>
  <c r="F44" i="5"/>
  <c r="C45" i="5"/>
  <c r="C44" i="5"/>
  <c r="D45" i="5"/>
  <c r="D44" i="5"/>
  <c r="C55" i="4"/>
  <c r="C43" i="4"/>
  <c r="C41" i="4"/>
  <c r="C40" i="4"/>
  <c r="C39" i="4"/>
  <c r="C38" i="4"/>
  <c r="C37" i="4"/>
  <c r="C33" i="4"/>
  <c r="C32" i="4"/>
  <c r="C67" i="4"/>
  <c r="C66" i="4"/>
  <c r="C65" i="4"/>
  <c r="F67" i="3"/>
  <c r="F66" i="3"/>
  <c r="F65" i="3"/>
  <c r="F18" i="3"/>
  <c r="F21" i="3"/>
  <c r="F24" i="3"/>
  <c r="F51" i="3"/>
  <c r="F58" i="3" s="1"/>
  <c r="C67" i="3"/>
  <c r="C66" i="3"/>
  <c r="C65" i="3"/>
  <c r="D21" i="3"/>
  <c r="C31" i="3"/>
  <c r="C24" i="3"/>
  <c r="D31" i="3"/>
  <c r="D24" i="3"/>
  <c r="C18" i="3"/>
  <c r="D18" i="3"/>
  <c r="C21" i="3"/>
  <c r="C51" i="3"/>
  <c r="C58" i="3" s="1"/>
  <c r="D51" i="3"/>
  <c r="D58" i="3" s="1"/>
  <c r="E28" i="1"/>
  <c r="E27" i="1"/>
  <c r="D61" i="1"/>
  <c r="E61" i="1"/>
  <c r="F61" i="1"/>
  <c r="C61" i="1"/>
  <c r="D60" i="1"/>
  <c r="E60" i="1"/>
  <c r="F60" i="1"/>
  <c r="C60" i="1"/>
  <c r="E50" i="1"/>
  <c r="D50" i="1"/>
  <c r="F50" i="1"/>
  <c r="C50" i="1"/>
  <c r="E49" i="1"/>
  <c r="D49" i="1"/>
  <c r="F49" i="1"/>
  <c r="C49" i="1"/>
  <c r="E48" i="1"/>
  <c r="D48" i="1"/>
  <c r="F48" i="1"/>
  <c r="C48" i="1"/>
  <c r="D42" i="1"/>
  <c r="E42" i="1"/>
  <c r="F42" i="1"/>
  <c r="C42" i="1"/>
  <c r="D30" i="1"/>
  <c r="E30" i="1"/>
  <c r="F30" i="1"/>
  <c r="C30" i="1"/>
  <c r="D29" i="1"/>
  <c r="E29" i="1"/>
  <c r="F29" i="1"/>
  <c r="C29" i="1"/>
  <c r="D28" i="1"/>
  <c r="F28" i="1"/>
  <c r="C28" i="1"/>
  <c r="D27" i="1"/>
  <c r="F27" i="1"/>
  <c r="D26" i="1"/>
  <c r="E26" i="1"/>
  <c r="F26" i="1"/>
  <c r="D25" i="1"/>
  <c r="E25" i="1"/>
  <c r="F25" i="1"/>
  <c r="C27" i="1"/>
  <c r="C26" i="1"/>
  <c r="C25" i="1"/>
  <c r="F23" i="1"/>
  <c r="E23" i="1"/>
  <c r="D23" i="1"/>
  <c r="C23" i="1"/>
  <c r="D22" i="1"/>
  <c r="E22" i="1"/>
  <c r="F22" i="1"/>
  <c r="C22" i="1"/>
  <c r="C9" i="1"/>
  <c r="F11" i="1"/>
  <c r="F12" i="1"/>
  <c r="F31" i="1" s="1"/>
  <c r="D11" i="1"/>
  <c r="D21" i="1" s="1"/>
  <c r="E11" i="1"/>
  <c r="E21" i="1" s="1"/>
  <c r="D12" i="1"/>
  <c r="D31" i="1" s="1"/>
  <c r="E12" i="1"/>
  <c r="E31" i="1" s="1"/>
  <c r="E9" i="1"/>
  <c r="F9" i="1"/>
  <c r="D9" i="1"/>
  <c r="C12" i="1"/>
  <c r="C31" i="1" s="1"/>
  <c r="C11" i="1"/>
  <c r="C21" i="1" s="1"/>
  <c r="F21" i="1" l="1"/>
  <c r="F64" i="1"/>
  <c r="C45" i="4"/>
  <c r="C44" i="4"/>
  <c r="F33" i="3"/>
  <c r="F32" i="3"/>
  <c r="F55" i="3"/>
  <c r="F43" i="3"/>
  <c r="F41" i="3"/>
  <c r="F40" i="3"/>
  <c r="F39" i="3"/>
  <c r="F38" i="3"/>
  <c r="F37" i="3"/>
  <c r="C33" i="3"/>
  <c r="C32" i="3"/>
  <c r="D55" i="3"/>
  <c r="D43" i="3"/>
  <c r="D41" i="3"/>
  <c r="D40" i="3"/>
  <c r="D39" i="3"/>
  <c r="D38" i="3"/>
  <c r="D37" i="3"/>
  <c r="C55" i="3"/>
  <c r="C43" i="3"/>
  <c r="C41" i="3"/>
  <c r="C40" i="3"/>
  <c r="C39" i="3"/>
  <c r="C38" i="3"/>
  <c r="C37" i="3"/>
  <c r="D33" i="3"/>
  <c r="D32" i="3"/>
  <c r="D67" i="3"/>
  <c r="D66" i="3"/>
  <c r="D65" i="3"/>
  <c r="E51" i="1"/>
  <c r="C52" i="1"/>
  <c r="C56" i="1" s="1"/>
  <c r="F52" i="1"/>
  <c r="F56" i="1" s="1"/>
  <c r="E52" i="1"/>
  <c r="E56" i="1" s="1"/>
  <c r="F51" i="1"/>
  <c r="F58" i="1" s="1"/>
  <c r="C64" i="1"/>
  <c r="C67" i="1" s="1"/>
  <c r="C51" i="1"/>
  <c r="C58" i="1" s="1"/>
  <c r="D64" i="1"/>
  <c r="D66" i="1" s="1"/>
  <c r="E64" i="1"/>
  <c r="D51" i="1"/>
  <c r="D58" i="1" s="1"/>
  <c r="D52" i="1"/>
  <c r="D56" i="1" s="1"/>
  <c r="F18" i="1"/>
  <c r="F38" i="1" s="1"/>
  <c r="E18" i="1"/>
  <c r="C18" i="1"/>
  <c r="C24" i="1"/>
  <c r="C33" i="1" s="1"/>
  <c r="F24" i="1"/>
  <c r="F32" i="1" s="1"/>
  <c r="D24" i="1"/>
  <c r="D32" i="1" s="1"/>
  <c r="D18" i="1"/>
  <c r="E24" i="1"/>
  <c r="E33" i="1" s="1"/>
  <c r="C38" i="1" l="1"/>
  <c r="C55" i="1"/>
  <c r="E39" i="1"/>
  <c r="E55" i="1"/>
  <c r="F45" i="3"/>
  <c r="F44" i="3"/>
  <c r="C45" i="3"/>
  <c r="C44" i="3"/>
  <c r="D45" i="3"/>
  <c r="D44" i="3"/>
  <c r="C65" i="1"/>
  <c r="C66" i="1"/>
  <c r="C40" i="1"/>
  <c r="F37" i="1"/>
  <c r="F45" i="1" s="1"/>
  <c r="D65" i="1"/>
  <c r="F33" i="1"/>
  <c r="D67" i="1"/>
  <c r="C43" i="1"/>
  <c r="C41" i="1"/>
  <c r="F66" i="1"/>
  <c r="F65" i="1"/>
  <c r="F67" i="1"/>
  <c r="E41" i="1"/>
  <c r="E32" i="1"/>
  <c r="E38" i="1"/>
  <c r="E40" i="1"/>
  <c r="E43" i="1"/>
  <c r="F40" i="1"/>
  <c r="C32" i="1"/>
  <c r="F39" i="1"/>
  <c r="F43" i="1"/>
  <c r="F41" i="1"/>
  <c r="E37" i="1"/>
  <c r="E66" i="1"/>
  <c r="E65" i="1"/>
  <c r="E67" i="1"/>
  <c r="F55" i="1"/>
  <c r="D33" i="1"/>
  <c r="C37" i="1"/>
  <c r="C39" i="1"/>
  <c r="D43" i="1"/>
  <c r="D41" i="1"/>
  <c r="D39" i="1"/>
  <c r="D37" i="1"/>
  <c r="D55" i="1"/>
  <c r="D40" i="1"/>
  <c r="D38" i="1"/>
  <c r="F44" i="1" l="1"/>
  <c r="C44" i="1"/>
  <c r="C45" i="1"/>
  <c r="E44" i="1"/>
  <c r="E45" i="1"/>
  <c r="D44" i="1"/>
  <c r="D45" i="1"/>
</calcChain>
</file>

<file path=xl/sharedStrings.xml><?xml version="1.0" encoding="utf-8"?>
<sst xmlns="http://schemas.openxmlformats.org/spreadsheetml/2006/main" count="776" uniqueCount="183">
  <si>
    <t xml:space="preserve">Mesures anthropométriques </t>
  </si>
  <si>
    <t>Caractéristiques</t>
  </si>
  <si>
    <t xml:space="preserve">Modèle masculin </t>
  </si>
  <si>
    <t>Modèle féminin</t>
  </si>
  <si>
    <t>Genre</t>
  </si>
  <si>
    <t>Âge</t>
  </si>
  <si>
    <t>Poids (kg)</t>
  </si>
  <si>
    <t>Poids (livre)</t>
  </si>
  <si>
    <t>Taille (cm)</t>
  </si>
  <si>
    <t>Taille (m)</t>
  </si>
  <si>
    <t>Taille (pouce)</t>
  </si>
  <si>
    <t>Tour de taille (cm)</t>
  </si>
  <si>
    <t>Tour de hanches (cm)</t>
  </si>
  <si>
    <t>Tour de poitrine (cm)</t>
  </si>
  <si>
    <t>Tour de poignet (cm)</t>
  </si>
  <si>
    <t>IMC</t>
  </si>
  <si>
    <t>Estimation du poids idéal en kg</t>
  </si>
  <si>
    <t>Calcul à partir de l'IMC</t>
  </si>
  <si>
    <t>Formule de Broca</t>
  </si>
  <si>
    <t>Formule de Lorentz</t>
  </si>
  <si>
    <t>Formule de Devine</t>
  </si>
  <si>
    <t>Formule de Perrault</t>
  </si>
  <si>
    <t>Formule de Creff "normale"</t>
  </si>
  <si>
    <t>Formule de Creff "mince"</t>
  </si>
  <si>
    <t>Formule de Creff "large"</t>
  </si>
  <si>
    <t>Formule de Monnerot-Dumaine</t>
  </si>
  <si>
    <t>Formule de Bornhardt</t>
  </si>
  <si>
    <t>Formule de Peck</t>
  </si>
  <si>
    <t>Poids idéal moyen</t>
  </si>
  <si>
    <t>Poids idéal médian</t>
  </si>
  <si>
    <t>Estimation du % de masse grasse</t>
  </si>
  <si>
    <t>La formule de Deurenberg (91)</t>
  </si>
  <si>
    <t>La formule de Deurenberg (98)</t>
  </si>
  <si>
    <t>La formule de Gallagher</t>
  </si>
  <si>
    <t>La formule de Jackson-Pollock</t>
  </si>
  <si>
    <t>La formule de Jackson-A.S</t>
  </si>
  <si>
    <t>La formule de Woolcott &amp; Bergman</t>
  </si>
  <si>
    <t>La formule de Gomez-Ambrosi</t>
  </si>
  <si>
    <t>% masse grasse moyen</t>
  </si>
  <si>
    <t>% masse grasse médian</t>
  </si>
  <si>
    <t>Estimation de la MCM en kg</t>
  </si>
  <si>
    <t xml:space="preserve">La formule de Boer </t>
  </si>
  <si>
    <t>La formule de James</t>
  </si>
  <si>
    <t>La formule de Hume</t>
  </si>
  <si>
    <t>MCM moyen</t>
  </si>
  <si>
    <t>MCM médian</t>
  </si>
  <si>
    <t>Esitmation de la masse grasse en kg</t>
  </si>
  <si>
    <t>La formule de Heitmann</t>
  </si>
  <si>
    <t>Poids corporel - MCM</t>
  </si>
  <si>
    <t>Indice de masse maigre</t>
  </si>
  <si>
    <t>RTH</t>
  </si>
  <si>
    <t>RCTT</t>
  </si>
  <si>
    <t>Métabolisme de base et total en kcal</t>
  </si>
  <si>
    <t xml:space="preserve">Formule de Black </t>
  </si>
  <si>
    <t>Dépense énergétique : sédentaire</t>
  </si>
  <si>
    <t>Dépense énergétique : actif</t>
  </si>
  <si>
    <t>Dépense énergétique : sportif</t>
  </si>
  <si>
    <t>Mme N</t>
  </si>
  <si>
    <t>Mme P</t>
  </si>
  <si>
    <t xml:space="preserve"> </t>
  </si>
  <si>
    <t>Lorentz</t>
  </si>
  <si>
    <t>actuel</t>
  </si>
  <si>
    <t>kcal/kg</t>
  </si>
  <si>
    <t>cible kcal deficit</t>
  </si>
  <si>
    <t>per day</t>
  </si>
  <si>
    <t>days</t>
  </si>
  <si>
    <t>months</t>
  </si>
  <si>
    <t>diff</t>
  </si>
  <si>
    <t>desired</t>
  </si>
  <si>
    <t>M.O.</t>
  </si>
  <si>
    <t>moyen</t>
  </si>
  <si>
    <t>M.J.</t>
  </si>
  <si>
    <t>glucides</t>
  </si>
  <si>
    <t>lipides</t>
  </si>
  <si>
    <t>proteines</t>
  </si>
  <si>
    <t>%</t>
  </si>
  <si>
    <t>kcals</t>
  </si>
  <si>
    <t>tot kcals</t>
  </si>
  <si>
    <t>kcal/g</t>
  </si>
  <si>
    <t>g</t>
  </si>
  <si>
    <t>M. G21</t>
  </si>
  <si>
    <t>min</t>
  </si>
  <si>
    <t>max</t>
  </si>
  <si>
    <t>Ana Maria</t>
  </si>
  <si>
    <t>age</t>
  </si>
  <si>
    <t>cible imc</t>
  </si>
  <si>
    <t>ideal poids</t>
  </si>
  <si>
    <t>tot kcals par jour</t>
  </si>
  <si>
    <t>kcal par g</t>
  </si>
  <si>
    <t>jour</t>
  </si>
  <si>
    <t>mois</t>
  </si>
  <si>
    <t>annee</t>
  </si>
  <si>
    <t>naissance</t>
  </si>
  <si>
    <t>aujour'hui</t>
  </si>
  <si>
    <t>poids ideal par cible imc</t>
  </si>
  <si>
    <t>taille m</t>
  </si>
  <si>
    <t>poids actuel</t>
  </si>
  <si>
    <t>kcal par kg</t>
  </si>
  <si>
    <t>jours</t>
  </si>
  <si>
    <t>par jour</t>
  </si>
  <si>
    <t>imc</t>
  </si>
  <si>
    <t>poids kg</t>
  </si>
  <si>
    <t>taille cm 2</t>
  </si>
  <si>
    <r>
      <t xml:space="preserve">Calcul à partir de l'IMC </t>
    </r>
    <r>
      <rPr>
        <b/>
        <sz val="11"/>
        <color rgb="FFFF0000"/>
        <rFont val="Calibri"/>
        <family val="2"/>
        <scheme val="minor"/>
      </rPr>
      <t>(cible 23)</t>
    </r>
  </si>
  <si>
    <r>
      <t>Calcul à partir de l'IMC</t>
    </r>
    <r>
      <rPr>
        <b/>
        <sz val="11"/>
        <color rgb="FFFF0000"/>
        <rFont val="Calibri"/>
        <family val="2"/>
        <scheme val="minor"/>
      </rPr>
      <t xml:space="preserve"> cible 22</t>
    </r>
  </si>
  <si>
    <r>
      <t>Calcul à partir de l'IMC</t>
    </r>
    <r>
      <rPr>
        <b/>
        <sz val="11"/>
        <color rgb="FFFF0000"/>
        <rFont val="Calibri"/>
        <family val="2"/>
        <scheme val="minor"/>
      </rPr>
      <t xml:space="preserve"> cible 27</t>
    </r>
  </si>
  <si>
    <r>
      <t>Calcul à partir de l'IMC</t>
    </r>
    <r>
      <rPr>
        <b/>
        <sz val="11"/>
        <color rgb="FFFF0000"/>
        <rFont val="Calibri"/>
        <family val="2"/>
        <scheme val="minor"/>
      </rPr>
      <t xml:space="preserve"> cible 23</t>
    </r>
  </si>
  <si>
    <t>actuel sed</t>
  </si>
  <si>
    <t>partie 1 p.11 MT</t>
  </si>
  <si>
    <t>ideal (68)</t>
  </si>
  <si>
    <t>ideal</t>
  </si>
  <si>
    <t>Lorenz</t>
  </si>
  <si>
    <t>lipids</t>
  </si>
  <si>
    <t>xxxxxx</t>
  </si>
  <si>
    <t>kcal</t>
  </si>
  <si>
    <t>TOTALE</t>
  </si>
  <si>
    <t>pct</t>
  </si>
  <si>
    <t>à mettre</t>
  </si>
  <si>
    <t>Comment calculer le poids de protéines pures ?</t>
  </si>
  <si>
    <t>Exemple : Pour 100 g de thon =&gt; 12 g de protéines</t>
  </si>
  <si>
    <t>12/100 = 84/x =&gt; 12 x = 84 x 100</t>
  </si>
  <si>
    <t>=&gt; x = 8 400 / 12 = 700</t>
  </si>
  <si>
    <t>= 700 g de protéines alimentaires pour une femme de 70 kgs</t>
  </si>
  <si>
    <t>genre</t>
  </si>
  <si>
    <t>poids</t>
  </si>
  <si>
    <t xml:space="preserve">• Norme = 0.8 g / kg / jour </t>
  </si>
  <si>
    <t>• Pour la femme =&gt; x 1.2</t>
  </si>
  <si>
    <t>• Pour l’homme =&gt; x 1.5</t>
  </si>
  <si>
    <t xml:space="preserve">exemple : Personne de 70 kg </t>
  </si>
  <si>
    <t>Pour une femme =&gt; 70 x 1.2 = 84 g de protéines pures</t>
  </si>
  <si>
    <t>Pour un homme =&gt; 70 x 1.5 = 105 g de protéines pures</t>
  </si>
  <si>
    <t>des apports de Protéine</t>
  </si>
  <si>
    <t>g total aliment</t>
  </si>
  <si>
    <t>g prot aliment</t>
  </si>
  <si>
    <t>factor</t>
  </si>
  <si>
    <t>pct protf aliment</t>
  </si>
  <si>
    <t>g necessaire d'aliment</t>
  </si>
  <si>
    <t>g besoin prots pures</t>
  </si>
  <si>
    <t>thon</t>
  </si>
  <si>
    <t>1=femme 0=homme</t>
  </si>
  <si>
    <t>Interprétation de l'exemple :</t>
  </si>
  <si>
    <t>Si cette femme ne mange rien d'autre contenant des protéines,</t>
  </si>
  <si>
    <t>elle doit manger 700 g de thon pour ses besoins quotidiens en protéines.</t>
  </si>
  <si>
    <t>aujourd'hui</t>
  </si>
  <si>
    <t xml:space="preserve">S.S.N </t>
  </si>
  <si>
    <t>https://www.sge-ssn.ch/fr/toi-et-moi/tests/mes-besoins-en-calories/</t>
  </si>
  <si>
    <t>Migros</t>
  </si>
  <si>
    <t>https://impuls.migros.ch/fr/alimentation/poids-ideal/calculez-votre-besoin-en-calories</t>
  </si>
  <si>
    <t>LE RÉGIME HYPERPROTÉINÉ</t>
  </si>
  <si>
    <t>????</t>
  </si>
  <si>
    <t>IG</t>
  </si>
  <si>
    <t>portion (gr)</t>
  </si>
  <si>
    <t>CG</t>
  </si>
  <si>
    <t>CG TOTALE</t>
  </si>
  <si>
    <t>riz sauvage cuit</t>
  </si>
  <si>
    <t>aliment (gr)</t>
  </si>
  <si>
    <t>glucides (100gr)</t>
  </si>
  <si>
    <t>glucides portion</t>
  </si>
  <si>
    <t>xxxxxxxxxxxxxxx</t>
  </si>
  <si>
    <t>Jusqu'à six aliments</t>
  </si>
  <si>
    <t>Entrées en rouge</t>
  </si>
  <si>
    <t>CG :</t>
  </si>
  <si>
    <t>11 - 19</t>
  </si>
  <si>
    <t>10 ou moins</t>
  </si>
  <si>
    <t>20 ou plus</t>
  </si>
  <si>
    <t>xxxxx</t>
  </si>
  <si>
    <t>xxxxxxxxxxxxxxxxx</t>
  </si>
  <si>
    <t>xxxxxxxxxxx</t>
  </si>
  <si>
    <t>FAIBLE :</t>
  </si>
  <si>
    <t>MOYEN :</t>
  </si>
  <si>
    <t>HAUT :</t>
  </si>
  <si>
    <t>xxxxxxxxxx</t>
  </si>
  <si>
    <t xml:space="preserve">Si on vous donne l'IG et les glucides dans la portion, </t>
  </si>
  <si>
    <t xml:space="preserve">Par exemple : </t>
  </si>
  <si>
    <t>Quel est le CG d'une portion de riz sauvage (IG 35) avec 14.8g de glucides.</t>
  </si>
  <si>
    <t>Si les glucides dans la portion ne sont pas donnés,</t>
  </si>
  <si>
    <t>il doit être calculé sur la base de 100g.</t>
  </si>
  <si>
    <t>par exemple,</t>
  </si>
  <si>
    <r>
      <t>recherches :</t>
    </r>
    <r>
      <rPr>
        <b/>
        <sz val="12"/>
        <color theme="1"/>
        <rFont val="Calibri"/>
        <family val="2"/>
        <scheme val="minor"/>
      </rPr>
      <t xml:space="preserve"> macros 100g riz sauvage cuit</t>
    </r>
  </si>
  <si>
    <t>il suffit de ce côté droit.</t>
  </si>
  <si>
    <t>poids cible</t>
  </si>
  <si>
    <t>homme</t>
  </si>
  <si>
    <t>femme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</si>
</sst>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ddmmmyyyy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333333"/>
      <name val="Arial"/>
      <family val="2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DDAD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45">
    <xf numFmtId="0" fontId="0" fillId="0" borderId="0" xfId="0"/>
    <xf numFmtId="0" fontId="3" fillId="0" borderId="0" xfId="0" applyFont="1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164" fontId="0" fillId="0" borderId="5" xfId="0" applyNumberFormat="1" applyBorder="1"/>
    <xf numFmtId="164" fontId="0" fillId="0" borderId="6" xfId="0" applyNumberForma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1" fillId="0" borderId="3" xfId="0" applyFont="1" applyBorder="1"/>
    <xf numFmtId="2" fontId="0" fillId="0" borderId="3" xfId="0" applyNumberFormat="1" applyBorder="1"/>
    <xf numFmtId="2" fontId="0" fillId="0" borderId="7" xfId="0" applyNumberFormat="1" applyBorder="1"/>
    <xf numFmtId="0" fontId="1" fillId="3" borderId="8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2" fontId="0" fillId="3" borderId="1" xfId="0" applyNumberFormat="1" applyFill="1" applyBorder="1"/>
    <xf numFmtId="2" fontId="0" fillId="3" borderId="12" xfId="0" applyNumberFormat="1" applyFill="1" applyBorder="1"/>
    <xf numFmtId="0" fontId="0" fillId="3" borderId="1" xfId="0" applyFill="1" applyBorder="1"/>
    <xf numFmtId="0" fontId="0" fillId="3" borderId="12" xfId="0" applyFill="1" applyBorder="1"/>
    <xf numFmtId="0" fontId="0" fillId="3" borderId="13" xfId="0" applyFill="1" applyBorder="1"/>
    <xf numFmtId="2" fontId="0" fillId="3" borderId="14" xfId="0" applyNumberFormat="1" applyFill="1" applyBorder="1"/>
    <xf numFmtId="2" fontId="0" fillId="3" borderId="15" xfId="0" applyNumberFormat="1" applyFill="1" applyBorder="1"/>
    <xf numFmtId="0" fontId="1" fillId="3" borderId="13" xfId="0" applyFont="1" applyFill="1" applyBorder="1"/>
    <xf numFmtId="2" fontId="1" fillId="3" borderId="9" xfId="0" applyNumberFormat="1" applyFont="1" applyFill="1" applyBorder="1"/>
    <xf numFmtId="2" fontId="1" fillId="3" borderId="14" xfId="0" applyNumberFormat="1" applyFont="1" applyFill="1" applyBorder="1"/>
    <xf numFmtId="0" fontId="1" fillId="4" borderId="8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2" fontId="0" fillId="4" borderId="1" xfId="0" applyNumberFormat="1" applyFill="1" applyBorder="1"/>
    <xf numFmtId="2" fontId="0" fillId="4" borderId="12" xfId="0" applyNumberFormat="1" applyFill="1" applyBorder="1"/>
    <xf numFmtId="0" fontId="0" fillId="4" borderId="22" xfId="0" applyFill="1" applyBorder="1"/>
    <xf numFmtId="2" fontId="0" fillId="4" borderId="2" xfId="0" applyNumberFormat="1" applyFill="1" applyBorder="1"/>
    <xf numFmtId="2" fontId="0" fillId="4" borderId="23" xfId="0" applyNumberFormat="1" applyFill="1" applyBorder="1"/>
    <xf numFmtId="2" fontId="1" fillId="4" borderId="9" xfId="0" applyNumberFormat="1" applyFont="1" applyFill="1" applyBorder="1"/>
    <xf numFmtId="2" fontId="1" fillId="4" borderId="10" xfId="0" applyNumberFormat="1" applyFont="1" applyFill="1" applyBorder="1"/>
    <xf numFmtId="0" fontId="1" fillId="4" borderId="13" xfId="0" applyFont="1" applyFill="1" applyBorder="1"/>
    <xf numFmtId="2" fontId="1" fillId="4" borderId="14" xfId="0" applyNumberFormat="1" applyFont="1" applyFill="1" applyBorder="1"/>
    <xf numFmtId="2" fontId="1" fillId="4" borderId="15" xfId="0" applyNumberFormat="1" applyFont="1" applyFill="1" applyBorder="1"/>
    <xf numFmtId="0" fontId="1" fillId="5" borderId="8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2" fontId="0" fillId="5" borderId="1" xfId="0" applyNumberFormat="1" applyFill="1" applyBorder="1"/>
    <xf numFmtId="2" fontId="0" fillId="5" borderId="12" xfId="0" applyNumberFormat="1" applyFill="1" applyBorder="1"/>
    <xf numFmtId="0" fontId="0" fillId="5" borderId="13" xfId="0" applyFill="1" applyBorder="1"/>
    <xf numFmtId="2" fontId="0" fillId="5" borderId="14" xfId="0" applyNumberFormat="1" applyFill="1" applyBorder="1"/>
    <xf numFmtId="2" fontId="0" fillId="5" borderId="15" xfId="0" applyNumberFormat="1" applyFill="1" applyBorder="1"/>
    <xf numFmtId="2" fontId="1" fillId="5" borderId="9" xfId="0" applyNumberFormat="1" applyFont="1" applyFill="1" applyBorder="1"/>
    <xf numFmtId="2" fontId="1" fillId="5" borderId="10" xfId="0" applyNumberFormat="1" applyFont="1" applyFill="1" applyBorder="1"/>
    <xf numFmtId="0" fontId="1" fillId="5" borderId="13" xfId="0" applyFont="1" applyFill="1" applyBorder="1"/>
    <xf numFmtId="2" fontId="1" fillId="5" borderId="14" xfId="0" applyNumberFormat="1" applyFont="1" applyFill="1" applyBorder="1"/>
    <xf numFmtId="2" fontId="1" fillId="5" borderId="15" xfId="0" applyNumberFormat="1" applyFont="1" applyFill="1" applyBorder="1"/>
    <xf numFmtId="0" fontId="1" fillId="6" borderId="19" xfId="0" applyFont="1" applyFill="1" applyBorder="1"/>
    <xf numFmtId="2" fontId="0" fillId="6" borderId="20" xfId="0" applyNumberFormat="1" applyFill="1" applyBorder="1"/>
    <xf numFmtId="2" fontId="0" fillId="6" borderId="21" xfId="0" applyNumberFormat="1" applyFill="1" applyBorder="1"/>
    <xf numFmtId="0" fontId="0" fillId="6" borderId="11" xfId="0" applyFill="1" applyBorder="1"/>
    <xf numFmtId="2" fontId="0" fillId="6" borderId="1" xfId="0" applyNumberFormat="1" applyFill="1" applyBorder="1"/>
    <xf numFmtId="2" fontId="0" fillId="6" borderId="12" xfId="0" applyNumberFormat="1" applyFill="1" applyBorder="1"/>
    <xf numFmtId="0" fontId="0" fillId="6" borderId="13" xfId="0" applyFill="1" applyBorder="1"/>
    <xf numFmtId="2" fontId="0" fillId="6" borderId="14" xfId="0" applyNumberFormat="1" applyFill="1" applyBorder="1"/>
    <xf numFmtId="2" fontId="0" fillId="6" borderId="15" xfId="0" applyNumberFormat="1" applyFill="1" applyBorder="1"/>
    <xf numFmtId="0" fontId="1" fillId="7" borderId="4" xfId="0" applyFont="1" applyFill="1" applyBorder="1"/>
    <xf numFmtId="2" fontId="0" fillId="7" borderId="5" xfId="0" applyNumberFormat="1" applyFill="1" applyBorder="1"/>
    <xf numFmtId="2" fontId="0" fillId="7" borderId="6" xfId="0" applyNumberFormat="1" applyFill="1" applyBorder="1"/>
    <xf numFmtId="0" fontId="0" fillId="8" borderId="4" xfId="0" applyFill="1" applyBorder="1"/>
    <xf numFmtId="2" fontId="0" fillId="8" borderId="5" xfId="0" applyNumberFormat="1" applyFill="1" applyBorder="1"/>
    <xf numFmtId="2" fontId="0" fillId="8" borderId="6" xfId="0" applyNumberFormat="1" applyFill="1" applyBorder="1"/>
    <xf numFmtId="0" fontId="1" fillId="9" borderId="8" xfId="0" applyFont="1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1" fontId="0" fillId="9" borderId="1" xfId="0" applyNumberFormat="1" applyFill="1" applyBorder="1"/>
    <xf numFmtId="1" fontId="0" fillId="9" borderId="12" xfId="0" applyNumberFormat="1" applyFill="1" applyBorder="1"/>
    <xf numFmtId="0" fontId="0" fillId="9" borderId="13" xfId="0" applyFill="1" applyBorder="1"/>
    <xf numFmtId="1" fontId="0" fillId="9" borderId="14" xfId="0" applyNumberFormat="1" applyFill="1" applyBorder="1"/>
    <xf numFmtId="1" fontId="0" fillId="9" borderId="15" xfId="0" applyNumberFormat="1" applyFill="1" applyBorder="1"/>
    <xf numFmtId="0" fontId="0" fillId="10" borderId="1" xfId="0" applyFill="1" applyBorder="1"/>
    <xf numFmtId="0" fontId="5" fillId="0" borderId="6" xfId="0" applyFont="1" applyBorder="1" applyAlignment="1">
      <alignment horizontal="center"/>
    </xf>
    <xf numFmtId="164" fontId="0" fillId="10" borderId="6" xfId="0" applyNumberFormat="1" applyFill="1" applyBorder="1"/>
    <xf numFmtId="2" fontId="0" fillId="10" borderId="6" xfId="0" applyNumberFormat="1" applyFill="1" applyBorder="1"/>
    <xf numFmtId="0" fontId="0" fillId="10" borderId="12" xfId="0" applyFill="1" applyBorder="1"/>
    <xf numFmtId="164" fontId="0" fillId="3" borderId="12" xfId="0" applyNumberFormat="1" applyFill="1" applyBorder="1"/>
    <xf numFmtId="164" fontId="0" fillId="3" borderId="15" xfId="0" applyNumberFormat="1" applyFill="1" applyBorder="1"/>
    <xf numFmtId="164" fontId="1" fillId="3" borderId="9" xfId="0" applyNumberFormat="1" applyFont="1" applyFill="1" applyBorder="1"/>
    <xf numFmtId="164" fontId="1" fillId="3" borderId="14" xfId="0" applyNumberFormat="1" applyFont="1" applyFill="1" applyBorder="1"/>
    <xf numFmtId="164" fontId="0" fillId="10" borderId="12" xfId="0" applyNumberFormat="1" applyFill="1" applyBorder="1"/>
    <xf numFmtId="1" fontId="0" fillId="9" borderId="0" xfId="0" applyNumberFormat="1" applyFill="1"/>
    <xf numFmtId="0" fontId="1" fillId="9" borderId="26" xfId="0" applyFont="1" applyFill="1" applyBorder="1"/>
    <xf numFmtId="0" fontId="0" fillId="9" borderId="24" xfId="0" applyFill="1" applyBorder="1"/>
    <xf numFmtId="0" fontId="0" fillId="9" borderId="27" xfId="0" applyFill="1" applyBorder="1"/>
    <xf numFmtId="0" fontId="0" fillId="9" borderId="28" xfId="0" applyFill="1" applyBorder="1"/>
    <xf numFmtId="1" fontId="0" fillId="9" borderId="29" xfId="0" applyNumberFormat="1" applyFill="1" applyBorder="1"/>
    <xf numFmtId="1" fontId="0" fillId="10" borderId="29" xfId="0" applyNumberFormat="1" applyFill="1" applyBorder="1"/>
    <xf numFmtId="0" fontId="0" fillId="9" borderId="30" xfId="0" applyFill="1" applyBorder="1"/>
    <xf numFmtId="1" fontId="0" fillId="9" borderId="25" xfId="0" applyNumberFormat="1" applyFill="1" applyBorder="1"/>
    <xf numFmtId="1" fontId="0" fillId="9" borderId="31" xfId="0" applyNumberFormat="1" applyFill="1" applyBorder="1"/>
    <xf numFmtId="0" fontId="0" fillId="9" borderId="32" xfId="0" applyFill="1" applyBorder="1"/>
    <xf numFmtId="1" fontId="0" fillId="9" borderId="33" xfId="0" applyNumberFormat="1" applyFill="1" applyBorder="1"/>
    <xf numFmtId="1" fontId="0" fillId="10" borderId="33" xfId="0" applyNumberFormat="1" applyFill="1" applyBorder="1"/>
    <xf numFmtId="1" fontId="0" fillId="9" borderId="34" xfId="0" applyNumberFormat="1" applyFill="1" applyBorder="1"/>
    <xf numFmtId="22" fontId="0" fillId="0" borderId="0" xfId="0" applyNumberFormat="1"/>
    <xf numFmtId="1" fontId="0" fillId="10" borderId="12" xfId="0" applyNumberFormat="1" applyFill="1" applyBorder="1"/>
    <xf numFmtId="164" fontId="1" fillId="10" borderId="9" xfId="0" applyNumberFormat="1" applyFont="1" applyFill="1" applyBorder="1"/>
    <xf numFmtId="164" fontId="1" fillId="10" borderId="14" xfId="0" applyNumberFormat="1" applyFont="1" applyFill="1" applyBorder="1"/>
    <xf numFmtId="0" fontId="0" fillId="0" borderId="0" xfId="0" applyAlignment="1">
      <alignment horizontal="right"/>
    </xf>
    <xf numFmtId="4" fontId="0" fillId="0" borderId="0" xfId="0" applyNumberFormat="1"/>
    <xf numFmtId="165" fontId="0" fillId="0" borderId="0" xfId="0" applyNumberFormat="1"/>
    <xf numFmtId="3" fontId="0" fillId="0" borderId="0" xfId="0" applyNumberFormat="1"/>
    <xf numFmtId="3" fontId="0" fillId="10" borderId="0" xfId="0" applyNumberFormat="1" applyFill="1"/>
    <xf numFmtId="165" fontId="0" fillId="10" borderId="0" xfId="0" applyNumberFormat="1" applyFill="1"/>
    <xf numFmtId="0" fontId="7" fillId="2" borderId="1" xfId="0" applyFont="1" applyFill="1" applyBorder="1"/>
    <xf numFmtId="164" fontId="0" fillId="3" borderId="9" xfId="0" applyNumberFormat="1" applyFill="1" applyBorder="1"/>
    <xf numFmtId="164" fontId="0" fillId="3" borderId="1" xfId="0" applyNumberFormat="1" applyFill="1" applyBorder="1"/>
    <xf numFmtId="164" fontId="0" fillId="3" borderId="14" xfId="0" applyNumberFormat="1" applyFill="1" applyBorder="1"/>
    <xf numFmtId="1" fontId="0" fillId="10" borderId="14" xfId="0" applyNumberFormat="1" applyFill="1" applyBorder="1"/>
    <xf numFmtId="164" fontId="0" fillId="10" borderId="5" xfId="0" applyNumberFormat="1" applyFill="1" applyBorder="1"/>
    <xf numFmtId="2" fontId="0" fillId="10" borderId="1" xfId="0" applyNumberFormat="1" applyFill="1" applyBorder="1"/>
    <xf numFmtId="164" fontId="0" fillId="10" borderId="1" xfId="0" applyNumberFormat="1" applyFill="1" applyBorder="1"/>
    <xf numFmtId="1" fontId="0" fillId="10" borderId="1" xfId="0" applyNumberFormat="1" applyFill="1" applyBorder="1"/>
    <xf numFmtId="2" fontId="0" fillId="0" borderId="0" xfId="0" applyNumberFormat="1" applyAlignment="1">
      <alignment horizontal="center"/>
    </xf>
    <xf numFmtId="0" fontId="5" fillId="0" borderId="5" xfId="0" applyFont="1" applyBorder="1" applyAlignment="1">
      <alignment horizontal="center"/>
    </xf>
    <xf numFmtId="2" fontId="0" fillId="10" borderId="5" xfId="0" applyNumberFormat="1" applyFill="1" applyBorder="1"/>
    <xf numFmtId="166" fontId="0" fillId="0" borderId="0" xfId="0" applyNumberFormat="1" applyAlignment="1">
      <alignment horizontal="center"/>
    </xf>
    <xf numFmtId="166" fontId="0" fillId="10" borderId="1" xfId="0" applyNumberFormat="1" applyFill="1" applyBorder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0" fontId="8" fillId="0" borderId="0" xfId="0" applyFont="1"/>
    <xf numFmtId="1" fontId="0" fillId="11" borderId="12" xfId="0" applyNumberFormat="1" applyFill="1" applyBorder="1"/>
    <xf numFmtId="14" fontId="0" fillId="0" borderId="0" xfId="0" quotePrefix="1" applyNumberFormat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4" borderId="29" xfId="0" applyFill="1" applyBorder="1" applyAlignment="1">
      <alignment horizontal="center"/>
    </xf>
    <xf numFmtId="167" fontId="1" fillId="0" borderId="26" xfId="0" applyNumberFormat="1" applyFont="1" applyBorder="1"/>
    <xf numFmtId="0" fontId="0" fillId="0" borderId="24" xfId="0" applyBorder="1"/>
    <xf numFmtId="0" fontId="9" fillId="0" borderId="2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9" xfId="0" applyFont="1" applyBorder="1" applyAlignment="1">
      <alignment horizontal="center"/>
    </xf>
    <xf numFmtId="0" fontId="0" fillId="4" borderId="28" xfId="0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10" borderId="29" xfId="0" applyNumberFormat="1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164" fontId="0" fillId="10" borderId="31" xfId="0" applyNumberFormat="1" applyFill="1" applyBorder="1" applyAlignment="1">
      <alignment horizontal="center"/>
    </xf>
    <xf numFmtId="1" fontId="7" fillId="10" borderId="31" xfId="0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9" fontId="9" fillId="0" borderId="0" xfId="1" applyFont="1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25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3" borderId="10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" fontId="0" fillId="10" borderId="12" xfId="0" applyNumberFormat="1" applyFill="1" applyBorder="1" applyAlignment="1">
      <alignment horizontal="center"/>
    </xf>
    <xf numFmtId="1" fontId="7" fillId="10" borderId="31" xfId="0" quotePrefix="1" applyNumberFormat="1" applyFont="1" applyFill="1" applyBorder="1" applyAlignment="1">
      <alignment horizontal="center"/>
    </xf>
    <xf numFmtId="1" fontId="0" fillId="0" borderId="0" xfId="0" applyNumberFormat="1"/>
    <xf numFmtId="166" fontId="0" fillId="10" borderId="6" xfId="0" applyNumberFormat="1" applyFill="1" applyBorder="1"/>
    <xf numFmtId="164" fontId="0" fillId="10" borderId="6" xfId="0" quotePrefix="1" applyNumberFormat="1" applyFill="1" applyBorder="1"/>
    <xf numFmtId="166" fontId="0" fillId="0" borderId="0" xfId="0" applyNumberFormat="1"/>
    <xf numFmtId="0" fontId="0" fillId="10" borderId="0" xfId="0" applyFill="1"/>
    <xf numFmtId="2" fontId="0" fillId="10" borderId="12" xfId="0" applyNumberFormat="1" applyFill="1" applyBorder="1"/>
    <xf numFmtId="164" fontId="0" fillId="10" borderId="1" xfId="0" quotePrefix="1" applyNumberFormat="1" applyFill="1" applyBorder="1"/>
    <xf numFmtId="0" fontId="0" fillId="0" borderId="0" xfId="0" quotePrefix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  <xf numFmtId="9" fontId="12" fillId="0" borderId="0" xfId="1" applyFont="1" applyAlignment="1">
      <alignment horizontal="center"/>
    </xf>
    <xf numFmtId="0" fontId="12" fillId="0" borderId="1" xfId="0" applyFont="1" applyBorder="1" applyAlignment="1">
      <alignment horizontal="center"/>
    </xf>
    <xf numFmtId="9" fontId="12" fillId="0" borderId="1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9" fontId="15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6" fontId="0" fillId="10" borderId="6" xfId="0" applyNumberFormat="1" applyFill="1" applyBorder="1" applyAlignment="1">
      <alignment horizontal="left" indent="5"/>
    </xf>
    <xf numFmtId="0" fontId="18" fillId="0" borderId="0" xfId="2"/>
    <xf numFmtId="164" fontId="4" fillId="4" borderId="25" xfId="0" applyNumberFormat="1" applyFont="1" applyFill="1" applyBorder="1" applyAlignment="1">
      <alignment horizontal="center"/>
    </xf>
    <xf numFmtId="0" fontId="0" fillId="0" borderId="36" xfId="0" applyBorder="1"/>
    <xf numFmtId="167" fontId="1" fillId="0" borderId="35" xfId="0" applyNumberFormat="1" applyFont="1" applyBorder="1"/>
    <xf numFmtId="0" fontId="0" fillId="0" borderId="41" xfId="0" applyBorder="1"/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164" fontId="0" fillId="10" borderId="40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164" fontId="20" fillId="10" borderId="1" xfId="0" applyNumberFormat="1" applyFont="1" applyFill="1" applyBorder="1" applyAlignment="1">
      <alignment horizontal="center"/>
    </xf>
    <xf numFmtId="164" fontId="24" fillId="10" borderId="0" xfId="0" applyNumberFormat="1" applyFont="1" applyFill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left" indent="1"/>
    </xf>
    <xf numFmtId="0" fontId="20" fillId="0" borderId="28" xfId="0" applyFont="1" applyBorder="1" applyAlignment="1">
      <alignment horizontal="center"/>
    </xf>
    <xf numFmtId="0" fontId="20" fillId="0" borderId="29" xfId="0" quotePrefix="1" applyFont="1" applyBorder="1" applyAlignment="1">
      <alignment horizontal="left" indent="1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left" indent="1"/>
    </xf>
    <xf numFmtId="0" fontId="22" fillId="0" borderId="0" xfId="0" applyFont="1" applyAlignment="1">
      <alignment horizontal="center" vertical="center" wrapText="1"/>
    </xf>
    <xf numFmtId="0" fontId="25" fillId="0" borderId="0" xfId="0" applyFont="1"/>
    <xf numFmtId="164" fontId="22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64" fontId="26" fillId="12" borderId="1" xfId="0" applyNumberFormat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35" xfId="0" applyBorder="1" applyAlignment="1">
      <alignment horizontal="right" indent="1"/>
    </xf>
    <xf numFmtId="0" fontId="10" fillId="0" borderId="37" xfId="0" applyFont="1" applyBorder="1" applyAlignment="1">
      <alignment horizontal="right" indent="1"/>
    </xf>
    <xf numFmtId="0" fontId="0" fillId="0" borderId="37" xfId="0" applyBorder="1" applyAlignment="1">
      <alignment horizontal="right" indent="1"/>
    </xf>
    <xf numFmtId="165" fontId="0" fillId="0" borderId="3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10" borderId="38" xfId="0" applyNumberFormat="1" applyFill="1" applyBorder="1" applyAlignment="1">
      <alignment horizontal="center"/>
    </xf>
    <xf numFmtId="0" fontId="0" fillId="0" borderId="39" xfId="0" applyBorder="1" applyAlignment="1">
      <alignment horizontal="right" indent="1"/>
    </xf>
    <xf numFmtId="165" fontId="0" fillId="10" borderId="40" xfId="0" applyNumberForma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ADD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</xdr:row>
      <xdr:rowOff>63500</xdr:rowOff>
    </xdr:from>
    <xdr:to>
      <xdr:col>8</xdr:col>
      <xdr:colOff>660400</xdr:colOff>
      <xdr:row>3</xdr:row>
      <xdr:rowOff>184150</xdr:rowOff>
    </xdr:to>
    <xdr:sp macro="" textlink="">
      <xdr:nvSpPr>
        <xdr:cNvPr id="2" name="Arrow: Curved Down 1">
          <a:extLst>
            <a:ext uri="{FF2B5EF4-FFF2-40B4-BE49-F238E27FC236}">
              <a16:creationId xmlns:a16="http://schemas.microsoft.com/office/drawing/2014/main" id="{6BE8BB65-70D9-16DF-4A53-2AFA1307907D}"/>
            </a:ext>
          </a:extLst>
        </xdr:cNvPr>
        <xdr:cNvSpPr/>
      </xdr:nvSpPr>
      <xdr:spPr>
        <a:xfrm>
          <a:off x="5232400" y="260350"/>
          <a:ext cx="2336800" cy="514350"/>
        </a:xfrm>
        <a:prstGeom prst="curved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ge-ssn.ch/fr/toi-et-moi/tests/mes-besoins-en-calories/" TargetMode="External"/><Relationship Id="rId1" Type="http://schemas.openxmlformats.org/officeDocument/2006/relationships/hyperlink" Target="https://impuls.migros.ch/fr/alimentation/poids-ideal/calculez-votre-besoin-en-calori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impuls.migros.ch/fr/alimentation/poids-ideal/calculez-votre-besoin-en-calories" TargetMode="External"/><Relationship Id="rId1" Type="http://schemas.openxmlformats.org/officeDocument/2006/relationships/hyperlink" Target="https://www.sge-ssn.ch/fr/toi-et-moi/tests/mes-besoins-en-calori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ge-ssn.ch/fr/toi-et-moi/tests/mes-besoins-en-calories/" TargetMode="External"/><Relationship Id="rId1" Type="http://schemas.openxmlformats.org/officeDocument/2006/relationships/hyperlink" Target="https://impuls.migros.ch/fr/alimentation/poids-ideal/calculez-votre-besoin-en-calori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ge-ssn.ch/fr/toi-et-moi/tests/mes-besoins-en-calories/" TargetMode="External"/><Relationship Id="rId1" Type="http://schemas.openxmlformats.org/officeDocument/2006/relationships/hyperlink" Target="https://impuls.migros.ch/fr/alimentation/poids-ideal/calculez-votre-besoin-en-calorie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7"/>
  <sheetViews>
    <sheetView topLeftCell="A2" workbookViewId="0">
      <selection activeCell="B14" sqref="B14"/>
    </sheetView>
  </sheetViews>
  <sheetFormatPr defaultColWidth="11.453125" defaultRowHeight="14.5" x14ac:dyDescent="0.35"/>
  <cols>
    <col min="1" max="1" width="10.81640625" customWidth="1"/>
    <col min="2" max="2" width="31.26953125" customWidth="1"/>
    <col min="3" max="3" width="16.453125" customWidth="1"/>
    <col min="5" max="5" width="17.54296875" customWidth="1"/>
    <col min="8" max="8" width="16.54296875" customWidth="1"/>
    <col min="10" max="10" width="16.7265625" bestFit="1" customWidth="1"/>
  </cols>
  <sheetData>
    <row r="2" spans="2:12" ht="15" thickBot="1" x14ac:dyDescent="0.4"/>
    <row r="3" spans="2:12" ht="21.5" thickBot="1" x14ac:dyDescent="0.55000000000000004">
      <c r="B3" s="242" t="s">
        <v>0</v>
      </c>
      <c r="C3" s="243"/>
      <c r="D3" s="243"/>
      <c r="E3" s="243"/>
      <c r="F3" s="244"/>
    </row>
    <row r="4" spans="2:12" ht="16" thickBot="1" x14ac:dyDescent="0.4">
      <c r="B4" s="10" t="s">
        <v>1</v>
      </c>
      <c r="C4" s="11" t="s">
        <v>2</v>
      </c>
      <c r="D4" s="11" t="s">
        <v>181</v>
      </c>
      <c r="E4" s="11" t="s">
        <v>3</v>
      </c>
      <c r="F4" s="12" t="s">
        <v>182</v>
      </c>
      <c r="G4" s="1"/>
      <c r="H4" s="163" t="s">
        <v>87</v>
      </c>
      <c r="I4" s="173"/>
      <c r="J4" s="164"/>
      <c r="K4" s="164"/>
      <c r="L4" s="165"/>
    </row>
    <row r="5" spans="2:12" x14ac:dyDescent="0.35">
      <c r="B5" s="6" t="s">
        <v>4</v>
      </c>
      <c r="C5" s="6">
        <v>1</v>
      </c>
      <c r="D5" s="6">
        <v>1</v>
      </c>
      <c r="E5" s="6">
        <v>0</v>
      </c>
      <c r="F5" s="6">
        <v>0</v>
      </c>
      <c r="H5" s="147"/>
      <c r="I5" s="166" t="s">
        <v>75</v>
      </c>
      <c r="J5" s="155" t="s">
        <v>76</v>
      </c>
      <c r="K5" s="155" t="s">
        <v>88</v>
      </c>
      <c r="L5" s="156" t="s">
        <v>79</v>
      </c>
    </row>
    <row r="6" spans="2:12" x14ac:dyDescent="0.35">
      <c r="B6" s="3" t="s">
        <v>4</v>
      </c>
      <c r="C6" s="3">
        <v>0</v>
      </c>
      <c r="D6" s="3">
        <v>0</v>
      </c>
      <c r="E6" s="3">
        <v>1</v>
      </c>
      <c r="F6" s="3">
        <v>1</v>
      </c>
      <c r="H6" s="167" t="s">
        <v>72</v>
      </c>
      <c r="I6" s="228">
        <v>0.4</v>
      </c>
      <c r="J6" s="140">
        <f>I6*$I$4</f>
        <v>0</v>
      </c>
      <c r="K6" s="138">
        <v>4</v>
      </c>
      <c r="L6" s="175">
        <f>J6/K6</f>
        <v>0</v>
      </c>
    </row>
    <row r="7" spans="2:12" x14ac:dyDescent="0.35">
      <c r="B7" s="3" t="s">
        <v>5</v>
      </c>
      <c r="C7" s="3">
        <v>30</v>
      </c>
      <c r="D7" s="117"/>
      <c r="E7" s="3">
        <v>30</v>
      </c>
      <c r="F7" s="4"/>
      <c r="H7" s="167" t="s">
        <v>73</v>
      </c>
      <c r="I7" s="228">
        <v>0.4</v>
      </c>
      <c r="J7" s="140">
        <f>I7*$I$4</f>
        <v>0</v>
      </c>
      <c r="K7" s="138">
        <v>9</v>
      </c>
      <c r="L7" s="175">
        <f>J7/K7</f>
        <v>0</v>
      </c>
    </row>
    <row r="8" spans="2:12" x14ac:dyDescent="0.35">
      <c r="B8" s="3" t="s">
        <v>6</v>
      </c>
      <c r="C8" s="3">
        <v>70</v>
      </c>
      <c r="D8" s="117"/>
      <c r="E8" s="3">
        <v>63</v>
      </c>
      <c r="F8" s="4"/>
      <c r="H8" s="167" t="s">
        <v>74</v>
      </c>
      <c r="I8" s="228">
        <v>0.2</v>
      </c>
      <c r="J8" s="140">
        <f>I8*$I$4</f>
        <v>0</v>
      </c>
      <c r="K8" s="138">
        <v>4</v>
      </c>
      <c r="L8" s="175">
        <f>J8/K8</f>
        <v>0</v>
      </c>
    </row>
    <row r="9" spans="2:12" ht="15" thickBot="1" x14ac:dyDescent="0.4">
      <c r="B9" s="3" t="s">
        <v>7</v>
      </c>
      <c r="C9" s="2">
        <f>C8*2.20462</f>
        <v>154.32339999999999</v>
      </c>
      <c r="D9" s="2">
        <f>D8*2.20462</f>
        <v>0</v>
      </c>
      <c r="E9" s="2">
        <f t="shared" ref="E9:F9" si="0">E8*2.20462</f>
        <v>138.89105999999998</v>
      </c>
      <c r="F9" s="2">
        <f t="shared" si="0"/>
        <v>0</v>
      </c>
      <c r="H9" s="150"/>
      <c r="I9" s="168">
        <f>SUM(I6:I8)</f>
        <v>1</v>
      </c>
      <c r="J9" s="169">
        <f>SUM(J6:J8)</f>
        <v>0</v>
      </c>
      <c r="K9" s="170"/>
      <c r="L9" s="171"/>
    </row>
    <row r="10" spans="2:12" x14ac:dyDescent="0.35">
      <c r="B10" s="3" t="s">
        <v>8</v>
      </c>
      <c r="C10" s="3">
        <v>177</v>
      </c>
      <c r="D10" s="4"/>
      <c r="E10" s="3">
        <v>165</v>
      </c>
      <c r="F10" s="4"/>
    </row>
    <row r="11" spans="2:12" x14ac:dyDescent="0.35">
      <c r="B11" s="3" t="s">
        <v>9</v>
      </c>
      <c r="C11" s="3">
        <f xml:space="preserve"> C10/100</f>
        <v>1.77</v>
      </c>
      <c r="D11" s="3">
        <f t="shared" ref="D11:F11" si="1" xml:space="preserve"> D10/100</f>
        <v>0</v>
      </c>
      <c r="E11" s="3">
        <f t="shared" si="1"/>
        <v>1.65</v>
      </c>
      <c r="F11" s="3">
        <f t="shared" si="1"/>
        <v>0</v>
      </c>
      <c r="H11" s="203" t="s">
        <v>94</v>
      </c>
      <c r="I11" s="204"/>
      <c r="J11" s="202"/>
    </row>
    <row r="12" spans="2:12" x14ac:dyDescent="0.35">
      <c r="B12" s="3" t="s">
        <v>10</v>
      </c>
      <c r="C12" s="2">
        <f>C10/2.54</f>
        <v>69.685039370078741</v>
      </c>
      <c r="D12" s="2">
        <f t="shared" ref="D12:E12" si="2">D10/2.54</f>
        <v>0</v>
      </c>
      <c r="E12" s="2">
        <f t="shared" si="2"/>
        <v>64.960629921259837</v>
      </c>
      <c r="F12" s="2">
        <f t="shared" ref="F12" si="3">F10/2.54</f>
        <v>0</v>
      </c>
      <c r="H12" s="205" t="s">
        <v>95</v>
      </c>
      <c r="I12" s="155" t="s">
        <v>85</v>
      </c>
      <c r="J12" s="206" t="s">
        <v>86</v>
      </c>
    </row>
    <row r="13" spans="2:12" x14ac:dyDescent="0.35">
      <c r="B13" s="3" t="s">
        <v>11</v>
      </c>
      <c r="C13" s="3">
        <v>89</v>
      </c>
      <c r="D13" s="4"/>
      <c r="E13" s="3">
        <v>75</v>
      </c>
      <c r="F13" s="4"/>
      <c r="H13" s="173"/>
      <c r="I13" s="229">
        <v>23</v>
      </c>
      <c r="J13" s="207">
        <f>(H13^2)*I13</f>
        <v>0</v>
      </c>
    </row>
    <row r="14" spans="2:12" x14ac:dyDescent="0.35">
      <c r="B14" s="3" t="s">
        <v>12</v>
      </c>
      <c r="C14" s="3">
        <v>99</v>
      </c>
      <c r="D14" s="4"/>
      <c r="E14" s="3">
        <v>100</v>
      </c>
      <c r="F14" s="4"/>
    </row>
    <row r="15" spans="2:12" x14ac:dyDescent="0.35">
      <c r="B15" s="3" t="s">
        <v>13</v>
      </c>
      <c r="C15" s="3">
        <v>100</v>
      </c>
      <c r="D15" s="4"/>
      <c r="E15" s="3">
        <v>93</v>
      </c>
      <c r="F15" s="4"/>
    </row>
    <row r="16" spans="2:12" ht="15" thickBot="1" x14ac:dyDescent="0.4">
      <c r="B16" s="3" t="s">
        <v>14</v>
      </c>
      <c r="C16" s="3">
        <v>18</v>
      </c>
      <c r="D16" s="4"/>
      <c r="E16" s="3">
        <v>16</v>
      </c>
      <c r="F16" s="4"/>
    </row>
    <row r="17" spans="2:13" ht="15" thickBot="1" x14ac:dyDescent="0.4">
      <c r="B17" s="5"/>
      <c r="C17" s="5"/>
      <c r="D17" s="5"/>
      <c r="E17" s="5"/>
      <c r="F17" s="5"/>
      <c r="H17" s="145" t="s">
        <v>92</v>
      </c>
      <c r="I17" s="146"/>
    </row>
    <row r="18" spans="2:13" ht="15" thickBot="1" x14ac:dyDescent="0.4">
      <c r="B18" s="7" t="s">
        <v>15</v>
      </c>
      <c r="C18" s="8">
        <f>C8/C11^2</f>
        <v>22.343515592581952</v>
      </c>
      <c r="D18" s="8" t="e">
        <f t="shared" ref="D18:F18" si="4">D8/D11^2</f>
        <v>#DIV/0!</v>
      </c>
      <c r="E18" s="8">
        <f t="shared" si="4"/>
        <v>23.140495867768596</v>
      </c>
      <c r="F18" s="9" t="e">
        <f t="shared" si="4"/>
        <v>#DIV/0!</v>
      </c>
      <c r="H18" s="147" t="s">
        <v>89</v>
      </c>
      <c r="I18" s="174">
        <v>26</v>
      </c>
    </row>
    <row r="19" spans="2:13" ht="15" thickBot="1" x14ac:dyDescent="0.4">
      <c r="B19" s="13"/>
      <c r="C19" s="13"/>
      <c r="D19" s="13"/>
      <c r="E19" s="13"/>
      <c r="F19" s="13"/>
      <c r="H19" s="147" t="s">
        <v>90</v>
      </c>
      <c r="I19" s="174">
        <v>4</v>
      </c>
      <c r="K19" s="177"/>
    </row>
    <row r="20" spans="2:13" x14ac:dyDescent="0.35">
      <c r="B20" s="17" t="s">
        <v>16</v>
      </c>
      <c r="C20" s="18"/>
      <c r="D20" s="118"/>
      <c r="E20" s="18"/>
      <c r="F20" s="172"/>
      <c r="H20" s="147" t="s">
        <v>91</v>
      </c>
      <c r="I20" s="174">
        <v>1975</v>
      </c>
    </row>
    <row r="21" spans="2:13" x14ac:dyDescent="0.35">
      <c r="B21" s="20" t="s">
        <v>17</v>
      </c>
      <c r="C21" s="21">
        <f>C11^2*22</f>
        <v>68.9238</v>
      </c>
      <c r="D21" s="119">
        <f t="shared" ref="D21:F21" si="5">D11^2*22</f>
        <v>0</v>
      </c>
      <c r="E21" s="21">
        <f t="shared" si="5"/>
        <v>59.894999999999996</v>
      </c>
      <c r="F21" s="88">
        <f t="shared" si="5"/>
        <v>0</v>
      </c>
      <c r="H21" s="148"/>
      <c r="I21" s="149"/>
    </row>
    <row r="22" spans="2:13" x14ac:dyDescent="0.35">
      <c r="B22" s="20" t="s">
        <v>18</v>
      </c>
      <c r="C22" s="23">
        <f>C10-100</f>
        <v>77</v>
      </c>
      <c r="D22" s="119">
        <f t="shared" ref="D22:F22" si="6">D10-100</f>
        <v>-100</v>
      </c>
      <c r="E22" s="23">
        <f t="shared" si="6"/>
        <v>65</v>
      </c>
      <c r="F22" s="88">
        <f t="shared" si="6"/>
        <v>-100</v>
      </c>
      <c r="H22" s="147" t="s">
        <v>93</v>
      </c>
      <c r="I22" s="149"/>
    </row>
    <row r="23" spans="2:13" x14ac:dyDescent="0.35">
      <c r="B23" s="20" t="s">
        <v>19</v>
      </c>
      <c r="C23" s="23">
        <f>(C10-100)-((C10-150)/4)</f>
        <v>70.25</v>
      </c>
      <c r="D23" s="119">
        <f>(D10-100)-((D10-150)/4)</f>
        <v>-62.5</v>
      </c>
      <c r="E23" s="23">
        <f>(E10-100)-((E10-150)/2.5)</f>
        <v>59</v>
      </c>
      <c r="F23" s="88">
        <f>(F10-100)-((F10-150)/2.5)</f>
        <v>-40</v>
      </c>
      <c r="H23" s="147" t="s">
        <v>89</v>
      </c>
      <c r="I23" s="174">
        <v>8</v>
      </c>
    </row>
    <row r="24" spans="2:13" x14ac:dyDescent="0.35">
      <c r="B24" s="20" t="s">
        <v>20</v>
      </c>
      <c r="C24" s="21">
        <f>50 + (2.3 * (C12-60))</f>
        <v>72.275590551181097</v>
      </c>
      <c r="D24" s="119">
        <f t="shared" ref="D24" si="7">50 + (2.3 * (D12-60))</f>
        <v>-88</v>
      </c>
      <c r="E24" s="21">
        <f>45.5 + (2.3 * (E12-60))</f>
        <v>56.909448818897623</v>
      </c>
      <c r="F24" s="88">
        <f>45.5 + (2.3 * (F12-60))</f>
        <v>-92.5</v>
      </c>
      <c r="H24" s="147" t="s">
        <v>90</v>
      </c>
      <c r="I24" s="174">
        <v>1</v>
      </c>
      <c r="K24" s="177"/>
    </row>
    <row r="25" spans="2:13" x14ac:dyDescent="0.35">
      <c r="B25" s="20" t="s">
        <v>21</v>
      </c>
      <c r="C25" s="23">
        <f>((C10-100) + (C7/10))*0.9</f>
        <v>72</v>
      </c>
      <c r="D25" s="119">
        <f t="shared" ref="D25:F25" si="8">((D10-100) + (D7/10))*0.9</f>
        <v>-90</v>
      </c>
      <c r="E25" s="23">
        <f t="shared" si="8"/>
        <v>61.2</v>
      </c>
      <c r="F25" s="88">
        <f t="shared" si="8"/>
        <v>-90</v>
      </c>
      <c r="H25" s="147" t="s">
        <v>91</v>
      </c>
      <c r="I25" s="174">
        <v>2024</v>
      </c>
    </row>
    <row r="26" spans="2:13" x14ac:dyDescent="0.35">
      <c r="B26" s="20" t="s">
        <v>22</v>
      </c>
      <c r="C26" s="23">
        <f>((C10-100)+(C7/10))*0.9</f>
        <v>72</v>
      </c>
      <c r="D26" s="119">
        <f t="shared" ref="D26:F26" si="9">((D10-100)+(D7/10))*0.9</f>
        <v>-90</v>
      </c>
      <c r="E26" s="23">
        <f t="shared" si="9"/>
        <v>61.2</v>
      </c>
      <c r="F26" s="88">
        <f t="shared" si="9"/>
        <v>-90</v>
      </c>
      <c r="H26" s="148"/>
      <c r="I26" s="149"/>
      <c r="K26" s="177"/>
    </row>
    <row r="27" spans="2:13" ht="15" thickBot="1" x14ac:dyDescent="0.4">
      <c r="B27" s="20" t="s">
        <v>23</v>
      </c>
      <c r="C27" s="23">
        <f>((C10-100)+(C7/10))*0.9^2</f>
        <v>64.800000000000011</v>
      </c>
      <c r="D27" s="119">
        <f t="shared" ref="D27:F27" si="10">((D10-100)+(D7/10))*0.9^2</f>
        <v>-81</v>
      </c>
      <c r="E27" s="23">
        <f t="shared" si="10"/>
        <v>55.080000000000005</v>
      </c>
      <c r="F27" s="88">
        <f t="shared" si="10"/>
        <v>-81</v>
      </c>
      <c r="H27" s="150" t="s">
        <v>84</v>
      </c>
      <c r="I27" s="176">
        <f>INT((DATE(I25,I24,I23)-DATE(I20,I19,I18))/365.25)</f>
        <v>48</v>
      </c>
    </row>
    <row r="28" spans="2:13" x14ac:dyDescent="0.35">
      <c r="B28" s="20" t="s">
        <v>24</v>
      </c>
      <c r="C28" s="23">
        <f>((C10-100)+(C7/10))*0.9*1.1</f>
        <v>79.2</v>
      </c>
      <c r="D28" s="119">
        <f t="shared" ref="D28:F28" si="11">((D10-100)+(D7/10))*0.9*1.1</f>
        <v>-99.000000000000014</v>
      </c>
      <c r="E28" s="23">
        <f t="shared" si="11"/>
        <v>67.320000000000007</v>
      </c>
      <c r="F28" s="88">
        <f t="shared" si="11"/>
        <v>-99.000000000000014</v>
      </c>
    </row>
    <row r="29" spans="2:13" x14ac:dyDescent="0.35">
      <c r="B29" s="20" t="s">
        <v>25</v>
      </c>
      <c r="C29" s="23">
        <f>((C10-100)+(4*C16))/2</f>
        <v>74.5</v>
      </c>
      <c r="D29" s="119">
        <f t="shared" ref="D29:F29" si="12">((D10-100)+(4*D16))/2</f>
        <v>-50</v>
      </c>
      <c r="E29" s="23">
        <f t="shared" si="12"/>
        <v>64.5</v>
      </c>
      <c r="F29" s="88">
        <f t="shared" si="12"/>
        <v>-50</v>
      </c>
      <c r="H29" s="230" t="s">
        <v>96</v>
      </c>
      <c r="I29" s="173"/>
    </row>
    <row r="30" spans="2:13" x14ac:dyDescent="0.35">
      <c r="B30" s="20" t="s">
        <v>26</v>
      </c>
      <c r="C30" s="23">
        <f>(C10*C15)/240</f>
        <v>73.75</v>
      </c>
      <c r="D30" s="119">
        <f t="shared" ref="D30:F30" si="13">(D10*D15)/240</f>
        <v>0</v>
      </c>
      <c r="E30" s="23">
        <f t="shared" si="13"/>
        <v>63.9375</v>
      </c>
      <c r="F30" s="88">
        <f t="shared" si="13"/>
        <v>0</v>
      </c>
      <c r="H30" s="231" t="s">
        <v>180</v>
      </c>
      <c r="I30" s="173"/>
    </row>
    <row r="31" spans="2:13" ht="15" thickBot="1" x14ac:dyDescent="0.4">
      <c r="B31" s="25" t="s">
        <v>27</v>
      </c>
      <c r="C31" s="26">
        <f>(-130.736+(4.064*C12))*0.454</f>
        <v>69.218655999999996</v>
      </c>
      <c r="D31" s="120">
        <f>(-130.736+(4.064*D12))*0.454</f>
        <v>-59.354143999999998</v>
      </c>
      <c r="E31" s="26">
        <f>(-111.621+(3.636*E12))*0.454</f>
        <v>56.557436078740153</v>
      </c>
      <c r="F31" s="89">
        <f>(-111.621+(3.636*F12))*0.454</f>
        <v>-50.675933999999998</v>
      </c>
      <c r="H31" s="232" t="s">
        <v>67</v>
      </c>
      <c r="I31" s="233">
        <f>I29-I30</f>
        <v>0</v>
      </c>
    </row>
    <row r="32" spans="2:13" x14ac:dyDescent="0.35">
      <c r="B32" s="17" t="s">
        <v>28</v>
      </c>
      <c r="C32" s="29">
        <f>AVERAGE(C21:C31)</f>
        <v>72.174367868289195</v>
      </c>
      <c r="D32" s="90">
        <f>AVERAGE(D21:D31)</f>
        <v>-65.441285818181825</v>
      </c>
      <c r="E32" s="29">
        <f>AVERAGE(E21:E31)</f>
        <v>60.963580445239792</v>
      </c>
      <c r="F32" s="90">
        <f>AVERAGE(F21:F31)</f>
        <v>-63.015993999999999</v>
      </c>
      <c r="H32" s="232" t="s">
        <v>97</v>
      </c>
      <c r="I32" s="173">
        <v>7000</v>
      </c>
      <c r="M32" t="s">
        <v>59</v>
      </c>
    </row>
    <row r="33" spans="2:9" ht="15" thickBot="1" x14ac:dyDescent="0.4">
      <c r="B33" s="28" t="s">
        <v>29</v>
      </c>
      <c r="C33" s="30">
        <f>MEDIAN(C21:C31)</f>
        <v>72</v>
      </c>
      <c r="D33" s="91">
        <f>MEDIAN(D21:D31)</f>
        <v>-81</v>
      </c>
      <c r="E33" s="30">
        <f>MEDIAN(E21:E31)</f>
        <v>61.2</v>
      </c>
      <c r="F33" s="91">
        <f>MEDIAN(F21:F31)</f>
        <v>-81</v>
      </c>
      <c r="H33" s="232" t="s">
        <v>63</v>
      </c>
      <c r="I33" s="234">
        <f>I31*I32</f>
        <v>0</v>
      </c>
    </row>
    <row r="34" spans="2:9" x14ac:dyDescent="0.35">
      <c r="B34" s="14"/>
      <c r="C34" s="6"/>
      <c r="D34" s="6"/>
      <c r="E34" s="6"/>
      <c r="F34" s="6"/>
      <c r="H34" s="232" t="s">
        <v>99</v>
      </c>
      <c r="I34" s="173">
        <v>500</v>
      </c>
    </row>
    <row r="35" spans="2:9" ht="15" thickBot="1" x14ac:dyDescent="0.4">
      <c r="B35" s="5"/>
      <c r="C35" s="5"/>
      <c r="D35" s="5"/>
      <c r="E35" s="5"/>
      <c r="F35" s="5"/>
      <c r="H35" s="232" t="s">
        <v>98</v>
      </c>
      <c r="I35" s="235">
        <f>I33/I34</f>
        <v>0</v>
      </c>
    </row>
    <row r="36" spans="2:9" x14ac:dyDescent="0.35">
      <c r="B36" s="31" t="s">
        <v>30</v>
      </c>
      <c r="C36" s="32"/>
      <c r="D36" s="32"/>
      <c r="E36" s="32"/>
      <c r="F36" s="33"/>
      <c r="H36" s="236" t="s">
        <v>90</v>
      </c>
      <c r="I36" s="237">
        <f>I35/(365.25/12)</f>
        <v>0</v>
      </c>
    </row>
    <row r="37" spans="2:9" x14ac:dyDescent="0.35">
      <c r="B37" s="34" t="s">
        <v>31</v>
      </c>
      <c r="C37" s="35">
        <f xml:space="preserve"> (1.2 * C18) + (0.23*C7) - (10.8*C5) - 5.4</f>
        <v>17.512218711098342</v>
      </c>
      <c r="D37" s="35" t="e">
        <f xml:space="preserve"> (1.2 * D18) + (0.23*D7) - (10.8*D5) - 5.4</f>
        <v>#DIV/0!</v>
      </c>
      <c r="E37" s="35">
        <f xml:space="preserve"> (1.2 * E18) + (0.23*E7) - (10.8*E5) - 5.4</f>
        <v>29.268595041322314</v>
      </c>
      <c r="F37" s="36" t="e">
        <f xml:space="preserve"> (1.2 * F18) + (0.23*F7) - (10.8*F5) - 5.4</f>
        <v>#DIV/0!</v>
      </c>
    </row>
    <row r="38" spans="2:9" x14ac:dyDescent="0.35">
      <c r="B38" s="34" t="s">
        <v>32</v>
      </c>
      <c r="C38" s="35">
        <f>(1.29*C18)+(0.2*C7)-(11.4*C5)-8</f>
        <v>15.423135114430721</v>
      </c>
      <c r="D38" s="35" t="e">
        <f>(1.29*D18)+(0.2*D7)-(11.4*D5)-8</f>
        <v>#DIV/0!</v>
      </c>
      <c r="E38" s="35">
        <f>(1.29*E18)+(0.2*E7)-(11.4*E5)-8</f>
        <v>27.851239669421489</v>
      </c>
      <c r="F38" s="36" t="e">
        <f>(1.29*F18)+(0.2*F7)-(11.4*F5)-8</f>
        <v>#DIV/0!</v>
      </c>
    </row>
    <row r="39" spans="2:9" x14ac:dyDescent="0.35">
      <c r="B39" s="34" t="s">
        <v>33</v>
      </c>
      <c r="C39" s="35">
        <f>(1.46*C18)+ (0.14*C7)-(11.6*C5)-10</f>
        <v>15.221532765169648</v>
      </c>
      <c r="D39" s="35" t="e">
        <f>(1.46*D18)+ (0.14*D7)-(11.6*D5)-10</f>
        <v>#DIV/0!</v>
      </c>
      <c r="E39" s="35">
        <f>(1.46*E18)+ (0.14*E7)-(11.6*E5)-10</f>
        <v>27.985123966942155</v>
      </c>
      <c r="F39" s="36" t="e">
        <f>(1.46*F18)+ (0.14*F7)-(11.6*F5)-10</f>
        <v>#DIV/0!</v>
      </c>
      <c r="H39" t="s">
        <v>144</v>
      </c>
    </row>
    <row r="40" spans="2:9" x14ac:dyDescent="0.35">
      <c r="B40" s="34" t="s">
        <v>34</v>
      </c>
      <c r="C40" s="35">
        <f>(1.61*C18) + (0.13*C7)-(12.1*C5)-13.9</f>
        <v>13.873060104056938</v>
      </c>
      <c r="D40" s="35" t="e">
        <f>(1.61*D18) + (0.13*D7)-(12.1*D5)-13.9</f>
        <v>#DIV/0!</v>
      </c>
      <c r="E40" s="35">
        <f>(1.61*E18) + (0.13*E7)-(12.1*E5)-13.9</f>
        <v>27.256198347107443</v>
      </c>
      <c r="F40" s="36" t="e">
        <f>(1.61*F18) + (0.13*F7)-(12.1*F5)-13.9</f>
        <v>#DIV/0!</v>
      </c>
      <c r="H40" s="200" t="s">
        <v>145</v>
      </c>
    </row>
    <row r="41" spans="2:9" x14ac:dyDescent="0.35">
      <c r="B41" s="34" t="s">
        <v>35</v>
      </c>
      <c r="C41" s="35">
        <f>(1.39*C18)+(0.16*C7)-(10.34*C5)-9</f>
        <v>16.517486673688911</v>
      </c>
      <c r="D41" s="35" t="e">
        <f>(1.39*D18)+(0.16*D7)-(10.34*D5)-9</f>
        <v>#DIV/0!</v>
      </c>
      <c r="E41" s="35">
        <f>(1.39*E18)+(0.16*E7)-(10.34*E5)-9</f>
        <v>27.965289256198346</v>
      </c>
      <c r="F41" s="36" t="e">
        <f>(1.39*F18)+(0.16*F7)-(10.34*F5)-9</f>
        <v>#DIV/0!</v>
      </c>
    </row>
    <row r="42" spans="2:9" x14ac:dyDescent="0.35">
      <c r="B42" s="34" t="s">
        <v>36</v>
      </c>
      <c r="C42" s="35">
        <f>64-((20*C10)/C13)+(12*C6)</f>
        <v>24.224719101123597</v>
      </c>
      <c r="D42" s="35" t="e">
        <f>64-((20*D10)/D13)+(12*D6)</f>
        <v>#DIV/0!</v>
      </c>
      <c r="E42" s="35">
        <f>64-((20*E10)/E13)+(12*E6)</f>
        <v>32</v>
      </c>
      <c r="F42" s="36" t="e">
        <f>64-((20*F10)/F13)+(12*F6)</f>
        <v>#DIV/0!</v>
      </c>
      <c r="H42" t="s">
        <v>146</v>
      </c>
    </row>
    <row r="43" spans="2:9" ht="15" thickBot="1" x14ac:dyDescent="0.4">
      <c r="B43" s="37" t="s">
        <v>37</v>
      </c>
      <c r="C43" s="38">
        <f>(-44.988)+(0.503*C7)+(10.689*C6)+(3.172*C18)-(0.026*(C18^2))+(0.181*C18*C6)-(0.02*C18*C7)-(0.005*C18^2*C6)+(0.00021*C18^2*C7)</f>
        <v>17.734638130112515</v>
      </c>
      <c r="D43" s="38" t="e">
        <f>(-44.988)+(0.503*D7)+(10.689*D6)+(3.172*D18)-(0.026*(D18^2))+(0.181*D18*D6)-(0.02*D18*D7)-(0.005*D18^2*D6)+(0.00021*D18^2*D7)</f>
        <v>#DIV/0!</v>
      </c>
      <c r="E43" s="38">
        <f>(-44.988)+(0.503*E7)+(10.689*E6)+(3.172*E18)-(0.026*(E18^2))+(0.181*E18*E6)-(0.02*E18*E7)-(0.005*E18^2*E6)+(0.00021*E18^2*E7)</f>
        <v>31.270366163513412</v>
      </c>
      <c r="F43" s="39" t="e">
        <f>(-44.988)+(0.503*F7)+(10.689*F6)+(3.172*F18)-(0.026*(F18^2))+(0.181*F18*F6)-(0.02*F18*F7)-(0.005*F18^2*F6)+(0.00021*F18^2*F7)</f>
        <v>#DIV/0!</v>
      </c>
      <c r="H43" s="200" t="s">
        <v>147</v>
      </c>
    </row>
    <row r="44" spans="2:9" x14ac:dyDescent="0.35">
      <c r="B44" s="31" t="s">
        <v>38</v>
      </c>
      <c r="C44" s="40">
        <f>AVERAGE(C37:C43)</f>
        <v>17.215255799954381</v>
      </c>
      <c r="D44" s="40" t="e">
        <f>AVERAGE(D37:D43)</f>
        <v>#DIV/0!</v>
      </c>
      <c r="E44" s="40">
        <f>AVERAGE(E37:E43)</f>
        <v>29.085258920643593</v>
      </c>
      <c r="F44" s="41" t="e">
        <f>AVERAGE(F37:F43)</f>
        <v>#DIV/0!</v>
      </c>
    </row>
    <row r="45" spans="2:9" ht="15" thickBot="1" x14ac:dyDescent="0.4">
      <c r="B45" s="42" t="s">
        <v>39</v>
      </c>
      <c r="C45" s="43">
        <f>MEDIAN(C37:C43)</f>
        <v>16.517486673688911</v>
      </c>
      <c r="D45" s="43" t="e">
        <f>MEDIAN(D37:D43)</f>
        <v>#DIV/0!</v>
      </c>
      <c r="E45" s="43">
        <f>MEDIAN(E37:E43)</f>
        <v>27.985123966942155</v>
      </c>
      <c r="F45" s="44" t="e">
        <f>MEDIAN(F37:F43)</f>
        <v>#DIV/0!</v>
      </c>
    </row>
    <row r="46" spans="2:9" ht="15" thickBot="1" x14ac:dyDescent="0.4">
      <c r="B46" s="6"/>
      <c r="C46" s="6"/>
      <c r="D46" s="6"/>
      <c r="E46" s="6"/>
      <c r="F46" s="6"/>
    </row>
    <row r="47" spans="2:9" x14ac:dyDescent="0.35">
      <c r="B47" s="45" t="s">
        <v>40</v>
      </c>
      <c r="C47" s="46"/>
      <c r="D47" s="46"/>
      <c r="E47" s="46"/>
      <c r="F47" s="47"/>
    </row>
    <row r="48" spans="2:9" x14ac:dyDescent="0.35">
      <c r="B48" s="48" t="s">
        <v>41</v>
      </c>
      <c r="C48" s="49">
        <f>(0.407*C8)+(0.267*C10)-19.2</f>
        <v>56.548999999999992</v>
      </c>
      <c r="D48" s="49">
        <f>(0.407*D8)+(0.267*D10)-19.2</f>
        <v>-19.2</v>
      </c>
      <c r="E48" s="49">
        <f>(0.252*E8)+(0.473*E10)-48.3</f>
        <v>45.621000000000009</v>
      </c>
      <c r="F48" s="50">
        <f>(0.407*F8)+(0.267*F10)-19.2</f>
        <v>-19.2</v>
      </c>
    </row>
    <row r="49" spans="2:6" x14ac:dyDescent="0.35">
      <c r="B49" s="48" t="s">
        <v>42</v>
      </c>
      <c r="C49" s="49">
        <f>(1.1*C8)-(128*(C8/C10)^2)</f>
        <v>56.980210029046567</v>
      </c>
      <c r="D49" s="49" t="e">
        <f>(1.1*D8)-(128*(D8/D10)^2)</f>
        <v>#DIV/0!</v>
      </c>
      <c r="E49" s="49">
        <f>(1.07*E8)-(148*(E8/E10)^2)</f>
        <v>45.833801652892575</v>
      </c>
      <c r="F49" s="50" t="e">
        <f>(1.1*F8)-(128*(F8/F10)^2)</f>
        <v>#DIV/0!</v>
      </c>
    </row>
    <row r="50" spans="2:6" ht="15" thickBot="1" x14ac:dyDescent="0.4">
      <c r="B50" s="51" t="s">
        <v>43</v>
      </c>
      <c r="C50" s="52">
        <f>(0.3281*C8) + (0.33929*C10)-29.5336</f>
        <v>53.487729999999992</v>
      </c>
      <c r="D50" s="52">
        <f>(0.3281*D8) + (0.33929*D10)-29.5336</f>
        <v>-29.5336</v>
      </c>
      <c r="E50" s="52">
        <f>(0.29569*E8) + (0.41813*E10)-43.2933</f>
        <v>44.326620000000005</v>
      </c>
      <c r="F50" s="53">
        <f>(0.3281*F8) + (0.33929*F10)-29.5336</f>
        <v>-29.5336</v>
      </c>
    </row>
    <row r="51" spans="2:6" x14ac:dyDescent="0.35">
      <c r="B51" s="45" t="s">
        <v>44</v>
      </c>
      <c r="C51" s="54">
        <f>AVERAGE(C48:C50)</f>
        <v>55.672313343015524</v>
      </c>
      <c r="D51" s="54" t="e">
        <f>AVERAGE(D48:D50)</f>
        <v>#DIV/0!</v>
      </c>
      <c r="E51" s="54">
        <f>AVERAGE(E48:E50)</f>
        <v>45.260473884297532</v>
      </c>
      <c r="F51" s="55" t="e">
        <f>AVERAGE(F48:F50)</f>
        <v>#DIV/0!</v>
      </c>
    </row>
    <row r="52" spans="2:6" ht="15" thickBot="1" x14ac:dyDescent="0.4">
      <c r="B52" s="56" t="s">
        <v>45</v>
      </c>
      <c r="C52" s="57">
        <f>MEDIAN(C48:C50)</f>
        <v>56.548999999999992</v>
      </c>
      <c r="D52" s="57" t="e">
        <f>MEDIAN(D48:D50)</f>
        <v>#DIV/0!</v>
      </c>
      <c r="E52" s="57">
        <f>MEDIAN(E48:E50)</f>
        <v>45.621000000000009</v>
      </c>
      <c r="F52" s="58" t="e">
        <f>MEDIAN(F48:F50)</f>
        <v>#DIV/0!</v>
      </c>
    </row>
    <row r="53" spans="2:6" ht="15" thickBot="1" x14ac:dyDescent="0.4">
      <c r="B53" s="6"/>
      <c r="C53" s="15"/>
      <c r="D53" s="15"/>
      <c r="E53" s="15"/>
      <c r="F53" s="15"/>
    </row>
    <row r="54" spans="2:6" x14ac:dyDescent="0.35">
      <c r="B54" s="59" t="s">
        <v>46</v>
      </c>
      <c r="C54" s="60"/>
      <c r="D54" s="60"/>
      <c r="E54" s="60"/>
      <c r="F54" s="61"/>
    </row>
    <row r="55" spans="2:6" x14ac:dyDescent="0.35">
      <c r="B55" s="62" t="s">
        <v>47</v>
      </c>
      <c r="C55" s="63">
        <f>(0.988*C18) + (0.242*C8)+(0.094*C7)-30.18</f>
        <v>11.655393405470967</v>
      </c>
      <c r="D55" s="63" t="e">
        <f>(0.988*D18) + (0.242*D8)+(0.094*D5)-30.18</f>
        <v>#DIV/0!</v>
      </c>
      <c r="E55" s="63">
        <f>(0.988*E18) + (0.344*E8)+(0.094*E7)-30.18</f>
        <v>17.174809917355375</v>
      </c>
      <c r="F55" s="64" t="e">
        <f>(0.988*F18) + (0.344*F8)+(0.094*F5)-30.18</f>
        <v>#DIV/0!</v>
      </c>
    </row>
    <row r="56" spans="2:6" ht="15" thickBot="1" x14ac:dyDescent="0.4">
      <c r="B56" s="65" t="s">
        <v>48</v>
      </c>
      <c r="C56" s="66">
        <f>C8-C52</f>
        <v>13.451000000000008</v>
      </c>
      <c r="D56" s="66" t="e">
        <f>D8-D52</f>
        <v>#DIV/0!</v>
      </c>
      <c r="E56" s="66">
        <f>E8-E52</f>
        <v>17.378999999999991</v>
      </c>
      <c r="F56" s="67" t="e">
        <f>F8-F52</f>
        <v>#DIV/0!</v>
      </c>
    </row>
    <row r="57" spans="2:6" ht="15" thickBot="1" x14ac:dyDescent="0.4">
      <c r="B57" s="13"/>
      <c r="C57" s="16"/>
      <c r="D57" s="16"/>
      <c r="E57" s="16"/>
      <c r="F57" s="16"/>
    </row>
    <row r="58" spans="2:6" ht="15" thickBot="1" x14ac:dyDescent="0.4">
      <c r="B58" s="68" t="s">
        <v>49</v>
      </c>
      <c r="C58" s="69">
        <f>C51/(C11^2)</f>
        <v>17.770217160782508</v>
      </c>
      <c r="D58" s="69" t="e">
        <f>D51/D11^2</f>
        <v>#DIV/0!</v>
      </c>
      <c r="E58" s="69">
        <f>E51/(E11^2)</f>
        <v>16.624600141156119</v>
      </c>
      <c r="F58" s="70" t="e">
        <f>F51/F11^2</f>
        <v>#DIV/0!</v>
      </c>
    </row>
    <row r="59" spans="2:6" ht="15" thickBot="1" x14ac:dyDescent="0.4">
      <c r="B59" s="13"/>
      <c r="C59" s="13"/>
      <c r="D59" s="13"/>
      <c r="E59" s="13"/>
      <c r="F59" s="13"/>
    </row>
    <row r="60" spans="2:6" ht="15" thickBot="1" x14ac:dyDescent="0.4">
      <c r="B60" s="71" t="s">
        <v>50</v>
      </c>
      <c r="C60" s="72">
        <f>C13/C14</f>
        <v>0.89898989898989901</v>
      </c>
      <c r="D60" s="72" t="e">
        <f>D13/D14</f>
        <v>#DIV/0!</v>
      </c>
      <c r="E60" s="72">
        <f>E13/E14</f>
        <v>0.75</v>
      </c>
      <c r="F60" s="73" t="e">
        <f>F13/F14</f>
        <v>#DIV/0!</v>
      </c>
    </row>
    <row r="61" spans="2:6" ht="15" thickBot="1" x14ac:dyDescent="0.4">
      <c r="B61" s="71" t="s">
        <v>51</v>
      </c>
      <c r="C61" s="72">
        <f>C13/C10</f>
        <v>0.50282485875706218</v>
      </c>
      <c r="D61" s="72" t="e">
        <f>D13/D10</f>
        <v>#DIV/0!</v>
      </c>
      <c r="E61" s="72">
        <f>E13/E10</f>
        <v>0.45454545454545453</v>
      </c>
      <c r="F61" s="73" t="e">
        <f>F13/F10</f>
        <v>#DIV/0!</v>
      </c>
    </row>
    <row r="62" spans="2:6" ht="15" thickBot="1" x14ac:dyDescent="0.4">
      <c r="B62" s="13"/>
      <c r="C62" s="13"/>
      <c r="D62" s="13"/>
      <c r="E62" s="13"/>
      <c r="F62" s="13"/>
    </row>
    <row r="63" spans="2:6" x14ac:dyDescent="0.35">
      <c r="B63" s="74" t="s">
        <v>52</v>
      </c>
      <c r="C63" s="75"/>
      <c r="D63" s="75"/>
      <c r="E63" s="75"/>
      <c r="F63" s="76"/>
    </row>
    <row r="64" spans="2:6" x14ac:dyDescent="0.35">
      <c r="B64" s="77" t="s">
        <v>53</v>
      </c>
      <c r="C64" s="78">
        <f>259*((C8^0.48)*(C11^0.5)*(C7^-0.13))</f>
        <v>1701.7967634254935</v>
      </c>
      <c r="D64" s="78" t="e">
        <f>259*((D8^0.48)*(D11^0.5)*(D7^-0.13))</f>
        <v>#DIV/0!</v>
      </c>
      <c r="E64" s="78">
        <f>230*((E8^0.48)*(E11^0.5)*(E7^-0.13))</f>
        <v>1387.1630398038285</v>
      </c>
      <c r="F64" s="79" t="e">
        <f>230*((F8^0.48)*(F11^0.5)*(F7^-0.13))</f>
        <v>#DIV/0!</v>
      </c>
    </row>
    <row r="65" spans="2:6" x14ac:dyDescent="0.35">
      <c r="B65" s="77" t="s">
        <v>54</v>
      </c>
      <c r="C65" s="78">
        <f>C64*1.37</f>
        <v>2331.4615658929265</v>
      </c>
      <c r="D65" s="78" t="e">
        <f t="shared" ref="D65:F65" si="14">D64*1.37</f>
        <v>#DIV/0!</v>
      </c>
      <c r="E65" s="78">
        <f t="shared" si="14"/>
        <v>1900.4133645312452</v>
      </c>
      <c r="F65" s="79" t="e">
        <f t="shared" si="14"/>
        <v>#DIV/0!</v>
      </c>
    </row>
    <row r="66" spans="2:6" x14ac:dyDescent="0.35">
      <c r="B66" s="77" t="s">
        <v>55</v>
      </c>
      <c r="C66" s="78">
        <f>C64*1.55</f>
        <v>2637.7849833095152</v>
      </c>
      <c r="D66" s="78" t="e">
        <f t="shared" ref="D66:F66" si="15">D64*1.55</f>
        <v>#DIV/0!</v>
      </c>
      <c r="E66" s="78">
        <f t="shared" si="15"/>
        <v>2150.1027116959344</v>
      </c>
      <c r="F66" s="79" t="e">
        <f t="shared" si="15"/>
        <v>#DIV/0!</v>
      </c>
    </row>
    <row r="67" spans="2:6" ht="15" thickBot="1" x14ac:dyDescent="0.4">
      <c r="B67" s="80" t="s">
        <v>56</v>
      </c>
      <c r="C67" s="81">
        <f>C64*1.8</f>
        <v>3063.2341741658884</v>
      </c>
      <c r="D67" s="81" t="e">
        <f t="shared" ref="D67:F67" si="16">D64*1.8</f>
        <v>#DIV/0!</v>
      </c>
      <c r="E67" s="81">
        <f t="shared" si="16"/>
        <v>2496.8934716468912</v>
      </c>
      <c r="F67" s="82" t="e">
        <f t="shared" si="16"/>
        <v>#DIV/0!</v>
      </c>
    </row>
  </sheetData>
  <mergeCells count="1">
    <mergeCell ref="B3:F3"/>
  </mergeCells>
  <hyperlinks>
    <hyperlink ref="H43" r:id="rId1" xr:uid="{3A6080E7-B253-411A-89C0-F1E98E67F142}"/>
    <hyperlink ref="H40" r:id="rId2" xr:uid="{AEB3F43D-9CD3-474A-AAC8-CF7B590B059F}"/>
  </hyperlinks>
  <pageMargins left="0.7" right="0.7" top="0.75" bottom="0.75" header="0.3" footer="0.3"/>
  <pageSetup paperSize="9" orientation="portrait" horizont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67"/>
  <sheetViews>
    <sheetView topLeftCell="C43" workbookViewId="0">
      <selection activeCell="K53" sqref="K53"/>
    </sheetView>
  </sheetViews>
  <sheetFormatPr defaultColWidth="11.453125" defaultRowHeight="14.5" x14ac:dyDescent="0.35"/>
  <cols>
    <col min="1" max="1" width="10.81640625" customWidth="1"/>
    <col min="2" max="2" width="31.26953125" customWidth="1"/>
    <col min="3" max="3" width="16.453125" customWidth="1"/>
  </cols>
  <sheetData>
    <row r="2" spans="2:13" ht="15" thickBot="1" x14ac:dyDescent="0.4"/>
    <row r="3" spans="2:13" ht="21.5" thickBot="1" x14ac:dyDescent="0.55000000000000004">
      <c r="B3" s="242" t="s">
        <v>0</v>
      </c>
      <c r="C3" s="243"/>
      <c r="D3" s="243"/>
    </row>
    <row r="4" spans="2:13" ht="16" thickBot="1" x14ac:dyDescent="0.4">
      <c r="B4" s="10" t="s">
        <v>1</v>
      </c>
      <c r="C4" s="11" t="s">
        <v>2</v>
      </c>
      <c r="D4" s="127" t="s">
        <v>71</v>
      </c>
      <c r="E4" s="1"/>
      <c r="G4" s="127" t="s">
        <v>71</v>
      </c>
      <c r="I4" s="131"/>
      <c r="J4" s="131"/>
      <c r="K4" s="131"/>
      <c r="L4" s="131"/>
      <c r="M4" s="131"/>
    </row>
    <row r="5" spans="2:13" x14ac:dyDescent="0.35">
      <c r="B5" s="6" t="s">
        <v>4</v>
      </c>
      <c r="C5" s="6">
        <v>1</v>
      </c>
      <c r="D5" s="6">
        <v>1</v>
      </c>
      <c r="G5" s="6">
        <v>1</v>
      </c>
      <c r="I5" s="136" t="s">
        <v>77</v>
      </c>
      <c r="J5" s="137">
        <f>G66</f>
        <v>2740.8413201610574</v>
      </c>
      <c r="K5" s="131"/>
      <c r="L5" s="131"/>
      <c r="M5" s="131"/>
    </row>
    <row r="6" spans="2:13" x14ac:dyDescent="0.35">
      <c r="B6" s="3" t="s">
        <v>4</v>
      </c>
      <c r="C6" s="3">
        <v>0</v>
      </c>
      <c r="D6" s="3">
        <v>0</v>
      </c>
      <c r="G6" s="3">
        <v>0</v>
      </c>
      <c r="I6" s="131"/>
      <c r="J6" s="132" t="s">
        <v>75</v>
      </c>
      <c r="K6" s="131" t="s">
        <v>76</v>
      </c>
      <c r="L6" s="131" t="s">
        <v>78</v>
      </c>
      <c r="M6" s="131" t="s">
        <v>79</v>
      </c>
    </row>
    <row r="7" spans="2:13" x14ac:dyDescent="0.35">
      <c r="B7" s="3" t="s">
        <v>5</v>
      </c>
      <c r="C7" s="3">
        <v>30</v>
      </c>
      <c r="D7" s="117">
        <v>34</v>
      </c>
      <c r="G7" s="117">
        <v>34</v>
      </c>
      <c r="I7" s="138" t="s">
        <v>72</v>
      </c>
      <c r="J7" s="139">
        <v>0.4</v>
      </c>
      <c r="K7" s="140">
        <f>J7*$J$5</f>
        <v>1096.336528064423</v>
      </c>
      <c r="L7" s="138">
        <v>4</v>
      </c>
      <c r="M7" s="141">
        <f>K7/L7</f>
        <v>274.08413201610574</v>
      </c>
    </row>
    <row r="8" spans="2:13" x14ac:dyDescent="0.35">
      <c r="B8" s="3" t="s">
        <v>6</v>
      </c>
      <c r="C8" s="3">
        <v>70</v>
      </c>
      <c r="D8" s="4">
        <v>75.75</v>
      </c>
      <c r="G8" s="130">
        <f>F23</f>
        <v>75.755624999999995</v>
      </c>
      <c r="I8" s="138" t="s">
        <v>73</v>
      </c>
      <c r="J8" s="139">
        <v>0.4</v>
      </c>
      <c r="K8" s="140">
        <f>J8*$J$5</f>
        <v>1096.336528064423</v>
      </c>
      <c r="L8" s="138">
        <v>9</v>
      </c>
      <c r="M8" s="141">
        <f>K8/L8</f>
        <v>121.81516978493589</v>
      </c>
    </row>
    <row r="9" spans="2:13" x14ac:dyDescent="0.35">
      <c r="B9" s="3" t="s">
        <v>7</v>
      </c>
      <c r="C9" s="2">
        <f>C8*2.20462</f>
        <v>154.32339999999999</v>
      </c>
      <c r="D9" s="2">
        <f>D8*2.20462</f>
        <v>166.99996499999997</v>
      </c>
      <c r="G9" s="2">
        <f>G8*2.20462</f>
        <v>167.01236598749998</v>
      </c>
      <c r="I9" s="138" t="s">
        <v>74</v>
      </c>
      <c r="J9" s="139">
        <v>0.2</v>
      </c>
      <c r="K9" s="140">
        <f>J9*$J$5</f>
        <v>548.16826403221148</v>
      </c>
      <c r="L9" s="138">
        <v>4</v>
      </c>
      <c r="M9" s="141">
        <f>K9/L9</f>
        <v>137.04206600805287</v>
      </c>
    </row>
    <row r="10" spans="2:13" x14ac:dyDescent="0.35">
      <c r="B10" s="3" t="s">
        <v>8</v>
      </c>
      <c r="C10" s="3">
        <v>177</v>
      </c>
      <c r="D10" s="4">
        <v>183</v>
      </c>
      <c r="G10" s="4">
        <v>183</v>
      </c>
      <c r="I10" s="131"/>
      <c r="J10" s="133">
        <f>SUM(J7:J9)</f>
        <v>1</v>
      </c>
      <c r="K10" s="135">
        <f>SUM(K7:K9)</f>
        <v>2740.8413201610574</v>
      </c>
      <c r="L10" s="131"/>
      <c r="M10" s="131"/>
    </row>
    <row r="11" spans="2:13" x14ac:dyDescent="0.35">
      <c r="B11" s="3" t="s">
        <v>9</v>
      </c>
      <c r="C11" s="3">
        <f xml:space="preserve"> C10/100</f>
        <v>1.77</v>
      </c>
      <c r="D11" s="3">
        <f t="shared" ref="D11" si="0" xml:space="preserve"> D10/100</f>
        <v>1.83</v>
      </c>
      <c r="G11" s="3">
        <f t="shared" ref="G11" si="1" xml:space="preserve"> G10/100</f>
        <v>1.83</v>
      </c>
    </row>
    <row r="12" spans="2:13" x14ac:dyDescent="0.35">
      <c r="B12" s="3" t="s">
        <v>10</v>
      </c>
      <c r="C12" s="2">
        <f>C10/2.54</f>
        <v>69.685039370078741</v>
      </c>
      <c r="D12" s="2">
        <f t="shared" ref="D12" si="2">D10/2.54</f>
        <v>72.047244094488192</v>
      </c>
      <c r="G12" s="2">
        <f t="shared" ref="G12" si="3">G10/2.54</f>
        <v>72.047244094488192</v>
      </c>
    </row>
    <row r="13" spans="2:13" x14ac:dyDescent="0.35">
      <c r="B13" s="3" t="s">
        <v>11</v>
      </c>
      <c r="C13" s="3">
        <v>89</v>
      </c>
      <c r="D13" s="4">
        <v>97</v>
      </c>
      <c r="G13" s="4">
        <v>97</v>
      </c>
    </row>
    <row r="14" spans="2:13" x14ac:dyDescent="0.35">
      <c r="B14" s="3" t="s">
        <v>12</v>
      </c>
      <c r="C14" s="3">
        <v>99</v>
      </c>
      <c r="D14" s="4">
        <v>103</v>
      </c>
      <c r="G14" s="4">
        <v>103</v>
      </c>
    </row>
    <row r="15" spans="2:13" x14ac:dyDescent="0.35">
      <c r="B15" s="3" t="s">
        <v>13</v>
      </c>
      <c r="C15" s="3">
        <v>100</v>
      </c>
      <c r="D15" s="4">
        <v>101</v>
      </c>
      <c r="G15" s="4">
        <v>101</v>
      </c>
    </row>
    <row r="16" spans="2:13" x14ac:dyDescent="0.35">
      <c r="B16" s="3" t="s">
        <v>14</v>
      </c>
      <c r="C16" s="3">
        <v>18</v>
      </c>
      <c r="D16" s="4">
        <v>16</v>
      </c>
      <c r="G16" s="4">
        <v>16</v>
      </c>
    </row>
    <row r="17" spans="2:7" ht="15" thickBot="1" x14ac:dyDescent="0.4">
      <c r="B17" s="5"/>
      <c r="C17" s="5"/>
      <c r="D17" s="5"/>
      <c r="G17" s="5"/>
    </row>
    <row r="18" spans="2:7" ht="15" thickBot="1" x14ac:dyDescent="0.4">
      <c r="B18" s="7" t="s">
        <v>15</v>
      </c>
      <c r="C18" s="8">
        <f>C8/C11^2</f>
        <v>22.343515592581952</v>
      </c>
      <c r="D18" s="122">
        <f t="shared" ref="D18" si="4">D8/D11^2</f>
        <v>22.619367553525034</v>
      </c>
      <c r="G18" s="122">
        <f t="shared" ref="G18" si="5">G8/G11^2</f>
        <v>22.621047209531483</v>
      </c>
    </row>
    <row r="19" spans="2:7" ht="15" thickBot="1" x14ac:dyDescent="0.4">
      <c r="B19" s="13"/>
      <c r="C19" s="13"/>
      <c r="D19" s="13"/>
      <c r="G19" s="13"/>
    </row>
    <row r="20" spans="2:7" x14ac:dyDescent="0.35">
      <c r="B20" s="17" t="s">
        <v>16</v>
      </c>
      <c r="C20" s="18"/>
      <c r="D20" s="118"/>
      <c r="G20" s="118"/>
    </row>
    <row r="21" spans="2:7" x14ac:dyDescent="0.35">
      <c r="B21" s="20" t="s">
        <v>17</v>
      </c>
      <c r="C21" s="21">
        <f>C11^2*22</f>
        <v>68.9238</v>
      </c>
      <c r="D21" s="21"/>
      <c r="G21" s="21">
        <f t="shared" ref="G21" si="6">G11^2*22</f>
        <v>73.67580000000001</v>
      </c>
    </row>
    <row r="22" spans="2:7" x14ac:dyDescent="0.35">
      <c r="B22" s="20" t="s">
        <v>18</v>
      </c>
      <c r="C22" s="23">
        <f>C10-100</f>
        <v>77</v>
      </c>
      <c r="D22" s="21"/>
      <c r="G22" s="21">
        <f t="shared" ref="G22" si="7">G10-100</f>
        <v>83</v>
      </c>
    </row>
    <row r="23" spans="2:7" x14ac:dyDescent="0.35">
      <c r="B23" s="20" t="s">
        <v>19</v>
      </c>
      <c r="C23" s="23">
        <f>(C10-100)-((C10-150)/4)</f>
        <v>70.25</v>
      </c>
      <c r="D23" s="123">
        <f>(D10-100)-((D10-150)/4)</f>
        <v>74.75</v>
      </c>
      <c r="E23" s="111" t="s">
        <v>70</v>
      </c>
      <c r="F23" s="129">
        <f>(D23+D26+D29+D30)/4</f>
        <v>75.755624999999995</v>
      </c>
      <c r="G23" s="123">
        <f>(G10-100)-((G10-150)/4)</f>
        <v>74.75</v>
      </c>
    </row>
    <row r="24" spans="2:7" x14ac:dyDescent="0.35">
      <c r="B24" s="20" t="s">
        <v>20</v>
      </c>
      <c r="C24" s="21">
        <f>50 + (2.3 * (C12-60))</f>
        <v>72.275590551181097</v>
      </c>
      <c r="D24" s="21"/>
      <c r="G24" s="21">
        <f t="shared" ref="G24" si="8">50 + (2.3 * (G12-60))</f>
        <v>77.708661417322844</v>
      </c>
    </row>
    <row r="25" spans="2:7" x14ac:dyDescent="0.35">
      <c r="B25" s="20" t="s">
        <v>21</v>
      </c>
      <c r="C25" s="23">
        <f>((C10-100) + (C7/10))*0.9</f>
        <v>72</v>
      </c>
      <c r="D25" s="21"/>
      <c r="G25" s="21">
        <f t="shared" ref="G25" si="9">((G10-100) + (G7/10))*0.9</f>
        <v>77.760000000000005</v>
      </c>
    </row>
    <row r="26" spans="2:7" x14ac:dyDescent="0.35">
      <c r="B26" s="20" t="s">
        <v>22</v>
      </c>
      <c r="C26" s="23">
        <f>((C10-100)+(C7/10))*0.9</f>
        <v>72</v>
      </c>
      <c r="D26" s="123">
        <f t="shared" ref="D26" si="10">((D10-100)+(D7/10))*0.9</f>
        <v>77.760000000000005</v>
      </c>
      <c r="G26" s="123">
        <f t="shared" ref="G26" si="11">((G10-100)+(G7/10))*0.9</f>
        <v>77.760000000000005</v>
      </c>
    </row>
    <row r="27" spans="2:7" x14ac:dyDescent="0.35">
      <c r="B27" s="20" t="s">
        <v>23</v>
      </c>
      <c r="C27" s="23">
        <f>((C10-100)+(C7/10))*0.9^2</f>
        <v>64.800000000000011</v>
      </c>
      <c r="D27" s="21"/>
      <c r="G27" s="21">
        <f t="shared" ref="G27" si="12">((G10-100)+(G7/10))*0.9^2</f>
        <v>69.984000000000009</v>
      </c>
    </row>
    <row r="28" spans="2:7" x14ac:dyDescent="0.35">
      <c r="B28" s="20" t="s">
        <v>24</v>
      </c>
      <c r="C28" s="23">
        <f>((C10-100)+(C7/10))*0.9*1.1</f>
        <v>79.2</v>
      </c>
      <c r="D28" s="21"/>
      <c r="G28" s="21">
        <f t="shared" ref="G28" si="13">((G10-100)+(G7/10))*0.9*1.1</f>
        <v>85.536000000000016</v>
      </c>
    </row>
    <row r="29" spans="2:7" x14ac:dyDescent="0.35">
      <c r="B29" s="20" t="s">
        <v>25</v>
      </c>
      <c r="C29" s="23">
        <f>((C10-100)+(4*C16))/2</f>
        <v>74.5</v>
      </c>
      <c r="D29" s="123">
        <f t="shared" ref="D29" si="14">((D10-100)+(4*D16))/2</f>
        <v>73.5</v>
      </c>
      <c r="G29" s="123">
        <f t="shared" ref="G29" si="15">((G10-100)+(4*G16))/2</f>
        <v>73.5</v>
      </c>
    </row>
    <row r="30" spans="2:7" x14ac:dyDescent="0.35">
      <c r="B30" s="20" t="s">
        <v>26</v>
      </c>
      <c r="C30" s="23">
        <f>(C10*C15)/240</f>
        <v>73.75</v>
      </c>
      <c r="D30" s="123">
        <f t="shared" ref="D30" si="16">(D10*D15)/240</f>
        <v>77.012500000000003</v>
      </c>
      <c r="G30" s="123">
        <f t="shared" ref="G30" si="17">(G10*G15)/240</f>
        <v>77.012500000000003</v>
      </c>
    </row>
    <row r="31" spans="2:7" ht="15" thickBot="1" x14ac:dyDescent="0.4">
      <c r="B31" s="25" t="s">
        <v>27</v>
      </c>
      <c r="C31" s="26">
        <f>(-130.736+(4.064*C12))*0.454</f>
        <v>69.218655999999996</v>
      </c>
      <c r="D31" s="26"/>
      <c r="G31" s="26">
        <f>(-130.736+(4.064*G12))*0.454</f>
        <v>73.577056000000013</v>
      </c>
    </row>
    <row r="32" spans="2:7" x14ac:dyDescent="0.35">
      <c r="B32" s="17" t="s">
        <v>28</v>
      </c>
      <c r="C32" s="29">
        <f>AVERAGE(C21:C31)</f>
        <v>72.174367868289195</v>
      </c>
      <c r="D32" s="29">
        <f>AVERAGE(D21:D31)</f>
        <v>75.755624999999995</v>
      </c>
      <c r="G32" s="29">
        <f>AVERAGE(G21:G31)</f>
        <v>76.751274310665721</v>
      </c>
    </row>
    <row r="33" spans="2:7" ht="15" thickBot="1" x14ac:dyDescent="0.4">
      <c r="B33" s="28" t="s">
        <v>29</v>
      </c>
      <c r="C33" s="30">
        <f>MEDIAN(C21:C31)</f>
        <v>72</v>
      </c>
      <c r="D33" s="30">
        <f>MEDIAN(D21:D31)</f>
        <v>75.881249999999994</v>
      </c>
      <c r="G33" s="30">
        <f>MEDIAN(G21:G31)</f>
        <v>77.012500000000003</v>
      </c>
    </row>
    <row r="34" spans="2:7" x14ac:dyDescent="0.35">
      <c r="B34" s="14"/>
      <c r="C34" s="6"/>
      <c r="D34" s="6"/>
      <c r="G34" s="6"/>
    </row>
    <row r="35" spans="2:7" ht="15" thickBot="1" x14ac:dyDescent="0.4">
      <c r="B35" s="5"/>
      <c r="C35" s="5"/>
      <c r="D35" s="5"/>
      <c r="G35" s="5"/>
    </row>
    <row r="36" spans="2:7" x14ac:dyDescent="0.35">
      <c r="B36" s="31" t="s">
        <v>30</v>
      </c>
      <c r="C36" s="32"/>
      <c r="D36" s="32"/>
      <c r="G36" s="32"/>
    </row>
    <row r="37" spans="2:7" x14ac:dyDescent="0.35">
      <c r="B37" s="34" t="s">
        <v>31</v>
      </c>
      <c r="C37" s="35">
        <f xml:space="preserve"> (1.2 * C18) + (0.23*C7) - (10.8*C5) - 5.4</f>
        <v>17.512218711098342</v>
      </c>
      <c r="D37" s="35"/>
      <c r="G37" s="35">
        <f xml:space="preserve"> (1.2 * G18) + (0.23*G7) - (10.8*G5) - 5.4</f>
        <v>18.765256651437781</v>
      </c>
    </row>
    <row r="38" spans="2:7" x14ac:dyDescent="0.35">
      <c r="B38" s="34" t="s">
        <v>32</v>
      </c>
      <c r="C38" s="35">
        <f>(1.29*C18)+(0.2*C7)-(11.4*C5)-8</f>
        <v>15.423135114430721</v>
      </c>
      <c r="D38" s="123">
        <f>(1.29*D18)+(0.2*D7)-(11.4*D5)-8</f>
        <v>16.578984144047297</v>
      </c>
      <c r="G38" s="123">
        <f>(1.29*G18)+(0.2*G7)-(11.4*G5)-8</f>
        <v>16.581150900295619</v>
      </c>
    </row>
    <row r="39" spans="2:7" x14ac:dyDescent="0.35">
      <c r="B39" s="34" t="s">
        <v>33</v>
      </c>
      <c r="C39" s="35">
        <f>(1.46*C18)+ (0.14*C7)-(11.6*C5)-10</f>
        <v>15.221532765169648</v>
      </c>
      <c r="D39" s="35"/>
      <c r="E39" s="111" t="s">
        <v>70</v>
      </c>
      <c r="F39" s="126">
        <f>(D38+D41+D42)/3</f>
        <v>20.129315426853498</v>
      </c>
      <c r="G39" s="35">
        <f>(1.46*G18)+ (0.14*G7)-(11.6*G5)-10</f>
        <v>16.186728925915958</v>
      </c>
    </row>
    <row r="40" spans="2:7" x14ac:dyDescent="0.35">
      <c r="B40" s="34" t="s">
        <v>34</v>
      </c>
      <c r="C40" s="35">
        <f>(1.61*C18) + (0.13*C7)-(12.1*C5)-13.9</f>
        <v>13.873060104056938</v>
      </c>
      <c r="D40" s="35"/>
      <c r="G40" s="35">
        <f>(1.61*G18) + (0.13*G7)-(12.1*G5)-13.9</f>
        <v>14.839886007345688</v>
      </c>
    </row>
    <row r="41" spans="2:7" x14ac:dyDescent="0.35">
      <c r="B41" s="34" t="s">
        <v>35</v>
      </c>
      <c r="C41" s="35">
        <f>(1.39*C18)+(0.16*C7)-(10.34*C5)-9</f>
        <v>16.517486673688911</v>
      </c>
      <c r="D41" s="123">
        <f>(1.39*D18)+(0.16*D7)-(10.34*D5)-9</f>
        <v>17.540920899399797</v>
      </c>
      <c r="G41" s="123">
        <f>(1.39*G18)+(0.16*G7)-(10.34*G5)-9</f>
        <v>17.543255621248758</v>
      </c>
    </row>
    <row r="42" spans="2:7" x14ac:dyDescent="0.35">
      <c r="B42" s="34" t="s">
        <v>36</v>
      </c>
      <c r="C42" s="35">
        <f>64-((20*C10)/C13)+(12*C6)</f>
        <v>24.224719101123597</v>
      </c>
      <c r="D42" s="123">
        <f>64-((20*D10)/D13)+(12*D6)</f>
        <v>26.268041237113401</v>
      </c>
      <c r="G42" s="123">
        <f>64-((20*G10)/G13)+(12*G6)</f>
        <v>26.268041237113401</v>
      </c>
    </row>
    <row r="43" spans="2:7" ht="15" thickBot="1" x14ac:dyDescent="0.4">
      <c r="B43" s="37" t="s">
        <v>37</v>
      </c>
      <c r="C43" s="38">
        <f>(-44.988)+(0.503*C7)+(10.689*C6)+(3.172*C18)-(0.026*(C18^2))+(0.181*C18*C6)-(0.02*C18*C7)-(0.005*C18^2*C6)+(0.00021*C18^2*C7)</f>
        <v>17.734638130112515</v>
      </c>
      <c r="D43" s="38"/>
      <c r="G43" s="38">
        <f>(-44.988)+(0.503*G7)+(10.689*G6)+(3.172*G18)-(0.026*(G18^2))+(0.181*G18*G6)-(0.02*G18*G7)-(0.005*G18^2*G6)+(0.00021*G18^2*G7)</f>
        <v>18.834765534651098</v>
      </c>
    </row>
    <row r="44" spans="2:7" x14ac:dyDescent="0.35">
      <c r="B44" s="31" t="s">
        <v>38</v>
      </c>
      <c r="C44" s="40">
        <f>AVERAGE(C37:C43)</f>
        <v>17.215255799954381</v>
      </c>
      <c r="D44" s="40">
        <f>AVERAGE(D37:D43)</f>
        <v>20.129315426853498</v>
      </c>
      <c r="G44" s="40">
        <f>AVERAGE(G37:G43)</f>
        <v>18.431297839715473</v>
      </c>
    </row>
    <row r="45" spans="2:7" ht="15" thickBot="1" x14ac:dyDescent="0.4">
      <c r="B45" s="42" t="s">
        <v>39</v>
      </c>
      <c r="C45" s="43">
        <f>MEDIAN(C37:C43)</f>
        <v>16.517486673688911</v>
      </c>
      <c r="D45" s="43">
        <f>MEDIAN(D37:D43)</f>
        <v>17.540920899399797</v>
      </c>
      <c r="G45" s="43">
        <f>MEDIAN(G37:G43)</f>
        <v>17.543255621248758</v>
      </c>
    </row>
    <row r="46" spans="2:7" ht="15" thickBot="1" x14ac:dyDescent="0.4">
      <c r="B46" s="6"/>
      <c r="C46" s="6"/>
      <c r="D46" s="6"/>
      <c r="G46" s="6"/>
    </row>
    <row r="47" spans="2:7" x14ac:dyDescent="0.35">
      <c r="B47" s="45" t="s">
        <v>40</v>
      </c>
      <c r="C47" s="46"/>
      <c r="D47" s="46"/>
      <c r="G47" s="46"/>
    </row>
    <row r="48" spans="2:7" x14ac:dyDescent="0.35">
      <c r="B48" s="48" t="s">
        <v>41</v>
      </c>
      <c r="C48" s="49">
        <f>(0.407*C8)+(0.267*C10)-19.2</f>
        <v>56.548999999999992</v>
      </c>
      <c r="D48" s="49">
        <f>(0.407*D8)+(0.267*D10)-19.2</f>
        <v>60.491249999999994</v>
      </c>
      <c r="G48" s="49">
        <f>(0.407*G8)+(0.267*G10)-19.2</f>
        <v>60.493539374999997</v>
      </c>
    </row>
    <row r="49" spans="2:7" x14ac:dyDescent="0.35">
      <c r="B49" s="48" t="s">
        <v>42</v>
      </c>
      <c r="C49" s="49">
        <f>(1.1*C8)-(128*(C8/C10)^2)</f>
        <v>56.980210029046567</v>
      </c>
      <c r="D49" s="49">
        <f>(1.1*D8)-(128*(D8/D10)^2)</f>
        <v>61.393261220102126</v>
      </c>
      <c r="G49" s="49">
        <f>(1.1*G8)-(128*(G8/G10)^2)</f>
        <v>61.396191410239183</v>
      </c>
    </row>
    <row r="50" spans="2:7" ht="15" thickBot="1" x14ac:dyDescent="0.4">
      <c r="B50" s="51" t="s">
        <v>43</v>
      </c>
      <c r="C50" s="52">
        <f>(0.3281*C8) + (0.33929*C10)-29.5336</f>
        <v>53.487729999999992</v>
      </c>
      <c r="D50" s="52">
        <f>(0.3281*D8) + (0.33929*D10)-29.5336</f>
        <v>57.410045000000004</v>
      </c>
      <c r="G50" s="52">
        <f>(0.3281*G8) + (0.33929*G10)-29.5336</f>
        <v>57.411890562499998</v>
      </c>
    </row>
    <row r="51" spans="2:7" x14ac:dyDescent="0.35">
      <c r="B51" s="45" t="s">
        <v>44</v>
      </c>
      <c r="C51" s="54">
        <f>AVERAGE(C48:C50)</f>
        <v>55.672313343015524</v>
      </c>
      <c r="D51" s="54">
        <f>AVERAGE(D48:D50)</f>
        <v>59.764852073367372</v>
      </c>
      <c r="G51" s="54">
        <f>AVERAGE(G48:G50)</f>
        <v>59.76720711591306</v>
      </c>
    </row>
    <row r="52" spans="2:7" ht="15" thickBot="1" x14ac:dyDescent="0.4">
      <c r="B52" s="56" t="s">
        <v>45</v>
      </c>
      <c r="C52" s="57">
        <f>MEDIAN(C48:C50)</f>
        <v>56.548999999999992</v>
      </c>
      <c r="D52" s="57">
        <f>MEDIAN(D48:D50)</f>
        <v>60.491249999999994</v>
      </c>
      <c r="G52" s="57">
        <f>MEDIAN(G48:G50)</f>
        <v>60.493539374999997</v>
      </c>
    </row>
    <row r="53" spans="2:7" ht="15" thickBot="1" x14ac:dyDescent="0.4">
      <c r="B53" s="6"/>
      <c r="C53" s="15"/>
      <c r="D53" s="15"/>
      <c r="G53" s="15"/>
    </row>
    <row r="54" spans="2:7" x14ac:dyDescent="0.35">
      <c r="B54" s="59" t="s">
        <v>46</v>
      </c>
      <c r="C54" s="60"/>
      <c r="D54" s="60"/>
      <c r="G54" s="60"/>
    </row>
    <row r="55" spans="2:7" x14ac:dyDescent="0.35">
      <c r="B55" s="62" t="s">
        <v>47</v>
      </c>
      <c r="C55" s="63">
        <f>(0.988*C18) + (0.242*C8)+(0.094*C7)-30.18</f>
        <v>11.655393405470967</v>
      </c>
      <c r="D55" s="63">
        <f>(0.988*D18) + (0.242*D8)+(0.094*D5)-30.18</f>
        <v>10.593435142882733</v>
      </c>
      <c r="G55" s="63">
        <f>(0.988*G18) + (0.242*G8)+(0.094*G5)-30.18</f>
        <v>10.596455893017108</v>
      </c>
    </row>
    <row r="56" spans="2:7" ht="15" thickBot="1" x14ac:dyDescent="0.4">
      <c r="B56" s="65" t="s">
        <v>48</v>
      </c>
      <c r="C56" s="66">
        <f>C8-C52</f>
        <v>13.451000000000008</v>
      </c>
      <c r="D56" s="66">
        <f>D8-D52</f>
        <v>15.258750000000006</v>
      </c>
      <c r="G56" s="66">
        <f>G8-G52</f>
        <v>15.262085624999997</v>
      </c>
    </row>
    <row r="57" spans="2:7" ht="15" thickBot="1" x14ac:dyDescent="0.4">
      <c r="B57" s="13"/>
      <c r="C57" s="16"/>
      <c r="D57" s="16"/>
      <c r="G57" s="16"/>
    </row>
    <row r="58" spans="2:7" ht="15" thickBot="1" x14ac:dyDescent="0.4">
      <c r="B58" s="68" t="s">
        <v>49</v>
      </c>
      <c r="C58" s="69">
        <f>C51/C11^2</f>
        <v>17.770217160782508</v>
      </c>
      <c r="D58" s="128">
        <f>D51/D11^2</f>
        <v>17.846114268376891</v>
      </c>
      <c r="G58" s="128">
        <f>G51/G11^2</f>
        <v>17.846817497062634</v>
      </c>
    </row>
    <row r="59" spans="2:7" ht="15" thickBot="1" x14ac:dyDescent="0.4">
      <c r="B59" s="13"/>
      <c r="C59" s="13"/>
      <c r="D59" s="13"/>
      <c r="G59" s="13"/>
    </row>
    <row r="60" spans="2:7" ht="15" thickBot="1" x14ac:dyDescent="0.4">
      <c r="B60" s="71" t="s">
        <v>50</v>
      </c>
      <c r="C60" s="72">
        <f>C13/C14</f>
        <v>0.89898989898989901</v>
      </c>
      <c r="D60" s="72">
        <f>D13/D14</f>
        <v>0.94174757281553401</v>
      </c>
      <c r="G60" s="72">
        <f>G13/G14</f>
        <v>0.94174757281553401</v>
      </c>
    </row>
    <row r="61" spans="2:7" ht="15" thickBot="1" x14ac:dyDescent="0.4">
      <c r="B61" s="71" t="s">
        <v>51</v>
      </c>
      <c r="C61" s="72">
        <f>C13/C10</f>
        <v>0.50282485875706218</v>
      </c>
      <c r="D61" s="128">
        <f>D13/D10</f>
        <v>0.5300546448087432</v>
      </c>
      <c r="G61" s="128">
        <f>G13/G10</f>
        <v>0.5300546448087432</v>
      </c>
    </row>
    <row r="62" spans="2:7" ht="15" thickBot="1" x14ac:dyDescent="0.4">
      <c r="B62" s="13"/>
      <c r="C62" s="13"/>
      <c r="D62" s="13"/>
      <c r="G62" s="13"/>
    </row>
    <row r="63" spans="2:7" x14ac:dyDescent="0.35">
      <c r="B63" s="74" t="s">
        <v>52</v>
      </c>
      <c r="C63" s="75"/>
      <c r="D63" s="75"/>
      <c r="G63" s="75"/>
    </row>
    <row r="64" spans="2:7" x14ac:dyDescent="0.35">
      <c r="B64" s="77" t="s">
        <v>53</v>
      </c>
      <c r="C64" s="78">
        <f>259*((C8^0.48)*(C11^0.5)*(C7^-0.13))</f>
        <v>1701.7967634254935</v>
      </c>
      <c r="D64" s="78">
        <f>259*((D8^0.48)*(D11^0.5)*(D7^-0.13))</f>
        <v>1768.2216981774461</v>
      </c>
      <c r="G64" s="78">
        <f>259*((G8^0.48)*(G11^0.5)*(G7^-0.13))</f>
        <v>1768.2847226845531</v>
      </c>
    </row>
    <row r="65" spans="2:7" x14ac:dyDescent="0.35">
      <c r="B65" s="77" t="s">
        <v>54</v>
      </c>
      <c r="C65" s="78">
        <f>C64*1.37</f>
        <v>2331.4615658929265</v>
      </c>
      <c r="D65" s="78">
        <f t="shared" ref="D65" si="18">D64*1.37</f>
        <v>2422.4637265031015</v>
      </c>
      <c r="G65" s="78">
        <f t="shared" ref="G65" si="19">G64*1.37</f>
        <v>2422.550070077838</v>
      </c>
    </row>
    <row r="66" spans="2:7" x14ac:dyDescent="0.35">
      <c r="B66" s="77" t="s">
        <v>55</v>
      </c>
      <c r="C66" s="78">
        <f>C64*1.55</f>
        <v>2637.7849833095152</v>
      </c>
      <c r="D66" s="125">
        <f t="shared" ref="D66" si="20">D64*1.55</f>
        <v>2740.7436321750415</v>
      </c>
      <c r="G66" s="125">
        <f t="shared" ref="G66" si="21">G64*1.55</f>
        <v>2740.8413201610574</v>
      </c>
    </row>
    <row r="67" spans="2:7" ht="15" thickBot="1" x14ac:dyDescent="0.4">
      <c r="B67" s="80" t="s">
        <v>56</v>
      </c>
      <c r="C67" s="81">
        <f>C64*1.8</f>
        <v>3063.2341741658884</v>
      </c>
      <c r="D67" s="81">
        <f t="shared" ref="D67" si="22">D64*1.8</f>
        <v>3182.7990567194029</v>
      </c>
      <c r="G67" s="81">
        <f t="shared" ref="G67" si="23">G64*1.8</f>
        <v>3182.9125008321957</v>
      </c>
    </row>
  </sheetData>
  <mergeCells count="1">
    <mergeCell ref="B3:D3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69"/>
  <sheetViews>
    <sheetView topLeftCell="A54" workbookViewId="0">
      <selection activeCell="F61" sqref="F61"/>
    </sheetView>
  </sheetViews>
  <sheetFormatPr defaultColWidth="11.453125" defaultRowHeight="14.5" x14ac:dyDescent="0.35"/>
  <cols>
    <col min="1" max="1" width="10.81640625" customWidth="1"/>
    <col min="2" max="2" width="31.26953125" customWidth="1"/>
  </cols>
  <sheetData>
    <row r="2" spans="2:8" ht="31.5" thickBot="1" x14ac:dyDescent="0.75">
      <c r="E2" s="142" t="s">
        <v>59</v>
      </c>
      <c r="F2" t="s">
        <v>59</v>
      </c>
    </row>
    <row r="3" spans="2:8" ht="21.5" thickBot="1" x14ac:dyDescent="0.55000000000000004">
      <c r="B3" s="242" t="s">
        <v>0</v>
      </c>
      <c r="C3" s="243"/>
    </row>
    <row r="4" spans="2:8" ht="16" thickBot="1" x14ac:dyDescent="0.4">
      <c r="B4" s="10" t="s">
        <v>1</v>
      </c>
      <c r="C4" s="127" t="s">
        <v>80</v>
      </c>
      <c r="D4" s="1"/>
      <c r="H4" s="127" t="s">
        <v>80</v>
      </c>
    </row>
    <row r="5" spans="2:8" x14ac:dyDescent="0.35">
      <c r="B5" s="6" t="s">
        <v>4</v>
      </c>
      <c r="C5" s="6">
        <v>1</v>
      </c>
      <c r="H5" s="6">
        <v>1</v>
      </c>
    </row>
    <row r="6" spans="2:8" x14ac:dyDescent="0.35">
      <c r="B6" s="3" t="s">
        <v>4</v>
      </c>
      <c r="C6" s="3">
        <v>0</v>
      </c>
      <c r="H6" s="3">
        <v>0</v>
      </c>
    </row>
    <row r="7" spans="2:8" x14ac:dyDescent="0.35">
      <c r="B7" s="3" t="s">
        <v>5</v>
      </c>
      <c r="C7" s="117">
        <v>51</v>
      </c>
      <c r="H7" s="117">
        <v>51</v>
      </c>
    </row>
    <row r="8" spans="2:8" x14ac:dyDescent="0.35">
      <c r="B8" s="3" t="s">
        <v>6</v>
      </c>
      <c r="C8" s="4">
        <v>93</v>
      </c>
      <c r="H8" s="83">
        <v>70</v>
      </c>
    </row>
    <row r="9" spans="2:8" x14ac:dyDescent="0.35">
      <c r="B9" s="3" t="s">
        <v>7</v>
      </c>
      <c r="C9" s="2">
        <f>C8*2.20462</f>
        <v>205.02965999999998</v>
      </c>
      <c r="H9" s="2">
        <f>H8*2.20462</f>
        <v>154.32339999999999</v>
      </c>
    </row>
    <row r="10" spans="2:8" x14ac:dyDescent="0.35">
      <c r="B10" s="3" t="s">
        <v>8</v>
      </c>
      <c r="C10" s="4">
        <v>175</v>
      </c>
      <c r="H10" s="4">
        <v>175</v>
      </c>
    </row>
    <row r="11" spans="2:8" x14ac:dyDescent="0.35">
      <c r="B11" s="3" t="s">
        <v>9</v>
      </c>
      <c r="C11" s="3">
        <f t="shared" ref="C11" si="0" xml:space="preserve"> C10/100</f>
        <v>1.75</v>
      </c>
      <c r="E11">
        <f>(C11*C11)</f>
        <v>3.0625</v>
      </c>
      <c r="H11" s="3">
        <f t="shared" ref="H11" si="1" xml:space="preserve"> H10/100</f>
        <v>1.75</v>
      </c>
    </row>
    <row r="12" spans="2:8" x14ac:dyDescent="0.35">
      <c r="B12" s="3" t="s">
        <v>10</v>
      </c>
      <c r="C12" s="2">
        <f t="shared" ref="C12" si="2">C10/2.54</f>
        <v>68.897637795275585</v>
      </c>
      <c r="E12">
        <f>93/3.06</f>
        <v>30.392156862745097</v>
      </c>
      <c r="H12" s="2">
        <f t="shared" ref="H12" si="3">H10/2.54</f>
        <v>68.897637795275585</v>
      </c>
    </row>
    <row r="13" spans="2:8" x14ac:dyDescent="0.35">
      <c r="B13" s="3" t="s">
        <v>11</v>
      </c>
      <c r="C13" s="4"/>
      <c r="H13" s="4"/>
    </row>
    <row r="14" spans="2:8" x14ac:dyDescent="0.35">
      <c r="B14" s="3" t="s">
        <v>12</v>
      </c>
      <c r="C14" s="4"/>
      <c r="H14" s="4"/>
    </row>
    <row r="15" spans="2:8" x14ac:dyDescent="0.35">
      <c r="B15" s="3" t="s">
        <v>13</v>
      </c>
      <c r="C15" s="4"/>
      <c r="F15" t="s">
        <v>108</v>
      </c>
      <c r="H15" s="4"/>
    </row>
    <row r="16" spans="2:8" x14ac:dyDescent="0.35">
      <c r="B16" s="3" t="s">
        <v>14</v>
      </c>
      <c r="C16" s="4"/>
      <c r="E16" s="111" t="s">
        <v>107</v>
      </c>
      <c r="F16" s="131">
        <f>35*93</f>
        <v>3255</v>
      </c>
      <c r="H16" s="4"/>
    </row>
    <row r="17" spans="2:8" ht="15" thickBot="1" x14ac:dyDescent="0.4">
      <c r="B17" s="5"/>
      <c r="C17" s="5"/>
      <c r="E17" s="111" t="s">
        <v>109</v>
      </c>
      <c r="F17" s="131">
        <f>40*68</f>
        <v>2720</v>
      </c>
      <c r="H17" s="5"/>
    </row>
    <row r="18" spans="2:8" ht="15" thickBot="1" x14ac:dyDescent="0.4">
      <c r="B18" s="7" t="s">
        <v>15</v>
      </c>
      <c r="C18" s="122">
        <f t="shared" ref="C18" si="4">C8/C11^2</f>
        <v>30.367346938775512</v>
      </c>
      <c r="H18" s="122">
        <f t="shared" ref="H18" si="5">H8/H11^2</f>
        <v>22.857142857142858</v>
      </c>
    </row>
    <row r="19" spans="2:8" ht="15" thickBot="1" x14ac:dyDescent="0.4">
      <c r="B19" s="13"/>
      <c r="C19" s="13"/>
      <c r="H19" s="13"/>
    </row>
    <row r="20" spans="2:8" x14ac:dyDescent="0.35">
      <c r="B20" s="17" t="s">
        <v>16</v>
      </c>
      <c r="C20" s="18"/>
      <c r="H20" s="18"/>
    </row>
    <row r="21" spans="2:8" x14ac:dyDescent="0.35">
      <c r="B21" s="20" t="s">
        <v>104</v>
      </c>
      <c r="C21" s="183">
        <f>C11^2*22</f>
        <v>67.375</v>
      </c>
      <c r="D21" t="s">
        <v>59</v>
      </c>
      <c r="H21" s="183">
        <f>H11^2*22</f>
        <v>67.375</v>
      </c>
    </row>
    <row r="22" spans="2:8" x14ac:dyDescent="0.35">
      <c r="B22" s="20" t="s">
        <v>105</v>
      </c>
      <c r="C22" s="183">
        <f>C11^2*27</f>
        <v>82.6875</v>
      </c>
      <c r="D22" t="s">
        <v>59</v>
      </c>
      <c r="H22" s="183">
        <f>H11^2*27</f>
        <v>82.6875</v>
      </c>
    </row>
    <row r="23" spans="2:8" x14ac:dyDescent="0.35">
      <c r="B23" s="20" t="s">
        <v>106</v>
      </c>
      <c r="C23" s="183">
        <f>C11^2*23</f>
        <v>70.4375</v>
      </c>
      <c r="H23" s="183">
        <f>H11^2*23</f>
        <v>70.4375</v>
      </c>
    </row>
    <row r="24" spans="2:8" x14ac:dyDescent="0.35">
      <c r="B24" s="20" t="s">
        <v>18</v>
      </c>
      <c r="C24" s="119">
        <f t="shared" ref="C24" si="6">C10-100</f>
        <v>75</v>
      </c>
      <c r="H24" s="119">
        <f t="shared" ref="H24" si="7">H10-100</f>
        <v>75</v>
      </c>
    </row>
    <row r="25" spans="2:8" x14ac:dyDescent="0.35">
      <c r="B25" s="20" t="s">
        <v>19</v>
      </c>
      <c r="C25" s="119">
        <f>(C10-100)-((C10-150)/4)</f>
        <v>68.75</v>
      </c>
      <c r="H25" s="119">
        <f>(H10-100)-((H10-150)/4)</f>
        <v>68.75</v>
      </c>
    </row>
    <row r="26" spans="2:8" x14ac:dyDescent="0.35">
      <c r="B26" s="20" t="s">
        <v>20</v>
      </c>
      <c r="C26" s="119">
        <f t="shared" ref="C26" si="8">50 + (2.3 * (C12-60))</f>
        <v>70.464566929133838</v>
      </c>
      <c r="H26" s="119">
        <f t="shared" ref="H26" si="9">50 + (2.3 * (H12-60))</f>
        <v>70.464566929133838</v>
      </c>
    </row>
    <row r="27" spans="2:8" x14ac:dyDescent="0.35">
      <c r="B27" s="20" t="s">
        <v>21</v>
      </c>
      <c r="C27" s="119">
        <f t="shared" ref="C27" si="10">((C10-100) + (C7/10))*0.9</f>
        <v>72.09</v>
      </c>
      <c r="H27" s="119">
        <f t="shared" ref="H27" si="11">((H10-100) + (H7/10))*0.9</f>
        <v>72.09</v>
      </c>
    </row>
    <row r="28" spans="2:8" x14ac:dyDescent="0.35">
      <c r="B28" s="20" t="s">
        <v>22</v>
      </c>
      <c r="C28" s="119">
        <f t="shared" ref="C28" si="12">((C10-100)+(C7/10))*0.9</f>
        <v>72.09</v>
      </c>
      <c r="E28" s="131" t="s">
        <v>81</v>
      </c>
      <c r="F28" s="135">
        <f>MIN(C22:C33)</f>
        <v>64.881</v>
      </c>
      <c r="H28" s="119">
        <f t="shared" ref="H28" si="13">((H10-100)+(H7/10))*0.9</f>
        <v>72.09</v>
      </c>
    </row>
    <row r="29" spans="2:8" x14ac:dyDescent="0.35">
      <c r="B29" s="20" t="s">
        <v>23</v>
      </c>
      <c r="C29" s="119">
        <f t="shared" ref="C29" si="14">((C10-100)+(C7/10))*0.9^2</f>
        <v>64.881</v>
      </c>
      <c r="E29" s="131" t="s">
        <v>82</v>
      </c>
      <c r="F29" s="135">
        <f>MAX(C24:C34)</f>
        <v>79.299000000000007</v>
      </c>
      <c r="H29" s="119">
        <f t="shared" ref="H29" si="15">((H10-100)+(H7/10))*0.9^2</f>
        <v>64.881</v>
      </c>
    </row>
    <row r="30" spans="2:8" x14ac:dyDescent="0.35">
      <c r="B30" s="20" t="s">
        <v>24</v>
      </c>
      <c r="C30" s="119">
        <f t="shared" ref="C30" si="16">((C10-100)+(C7/10))*0.9*1.1</f>
        <v>79.299000000000007</v>
      </c>
      <c r="H30" s="119">
        <f t="shared" ref="H30" si="17">((H10-100)+(H7/10))*0.9*1.1</f>
        <v>79.299000000000007</v>
      </c>
    </row>
    <row r="31" spans="2:8" x14ac:dyDescent="0.35">
      <c r="B31" s="20" t="s">
        <v>25</v>
      </c>
      <c r="C31" s="119"/>
      <c r="H31" s="119"/>
    </row>
    <row r="32" spans="2:8" x14ac:dyDescent="0.35">
      <c r="B32" s="20" t="s">
        <v>26</v>
      </c>
      <c r="C32" s="119"/>
      <c r="H32" s="119"/>
    </row>
    <row r="33" spans="2:8" ht="15" thickBot="1" x14ac:dyDescent="0.4">
      <c r="B33" s="25" t="s">
        <v>27</v>
      </c>
      <c r="C33" s="120">
        <f>(-130.736+(4.064*C12))*0.454</f>
        <v>67.765856000000014</v>
      </c>
      <c r="H33" s="120">
        <f>(-130.736+(4.064*H12))*0.454</f>
        <v>67.765856000000014</v>
      </c>
    </row>
    <row r="34" spans="2:8" x14ac:dyDescent="0.35">
      <c r="B34" s="17" t="s">
        <v>28</v>
      </c>
      <c r="C34" s="90">
        <f>AVERAGE(C22:C33)</f>
        <v>72.346542292913384</v>
      </c>
      <c r="H34" s="90">
        <f>AVERAGE(H22:H33)</f>
        <v>72.346542292913384</v>
      </c>
    </row>
    <row r="35" spans="2:8" ht="15" thickBot="1" x14ac:dyDescent="0.4">
      <c r="B35" s="28" t="s">
        <v>29</v>
      </c>
      <c r="C35" s="91">
        <f>MEDIAN(C22:C33)</f>
        <v>71.277283464566921</v>
      </c>
      <c r="H35" s="91">
        <f>MEDIAN(H22:H33)</f>
        <v>71.277283464566921</v>
      </c>
    </row>
    <row r="36" spans="2:8" x14ac:dyDescent="0.35">
      <c r="B36" s="14"/>
      <c r="C36" s="6"/>
      <c r="H36" s="6"/>
    </row>
    <row r="37" spans="2:8" ht="15" thickBot="1" x14ac:dyDescent="0.4">
      <c r="B37" s="5"/>
      <c r="C37" s="5"/>
      <c r="H37" s="5"/>
    </row>
    <row r="38" spans="2:8" x14ac:dyDescent="0.35">
      <c r="B38" s="31" t="s">
        <v>30</v>
      </c>
      <c r="C38" s="32"/>
      <c r="H38" s="32"/>
    </row>
    <row r="39" spans="2:8" x14ac:dyDescent="0.35">
      <c r="B39" s="34" t="s">
        <v>31</v>
      </c>
      <c r="C39" s="35">
        <f xml:space="preserve"> (1.2 * C18) + (0.23*C7) - (10.8*C5) - 5.4</f>
        <v>31.970816326530617</v>
      </c>
      <c r="H39" s="35">
        <f xml:space="preserve"> (1.2 * H18) + (0.23*H7) - (10.8*H5) - 5.4</f>
        <v>22.958571428571425</v>
      </c>
    </row>
    <row r="40" spans="2:8" x14ac:dyDescent="0.35">
      <c r="B40" s="34" t="s">
        <v>32</v>
      </c>
      <c r="C40" s="35">
        <f>(1.29*C18)+(0.2*C7)-(11.4*C5)-8</f>
        <v>29.973877551020415</v>
      </c>
      <c r="H40" s="35">
        <f>(1.29*H18)+(0.2*H7)-(11.4*H5)-8</f>
        <v>20.285714285714292</v>
      </c>
    </row>
    <row r="41" spans="2:8" x14ac:dyDescent="0.35">
      <c r="B41" s="34" t="s">
        <v>33</v>
      </c>
      <c r="C41" s="35">
        <f>(1.46*C18)+ (0.14*C7)-(11.6*C5)-10</f>
        <v>29.876326530612246</v>
      </c>
      <c r="H41" s="35">
        <f>(1.46*H18)+ (0.14*H7)-(11.6*H5)-10</f>
        <v>18.911428571428573</v>
      </c>
    </row>
    <row r="42" spans="2:8" x14ac:dyDescent="0.35">
      <c r="B42" s="34" t="s">
        <v>34</v>
      </c>
      <c r="C42" s="35">
        <f>(1.61*C18) + (0.13*C7)-(12.1*C5)-13.9</f>
        <v>29.521428571428579</v>
      </c>
      <c r="H42" s="35">
        <f>(1.61*H18) + (0.13*H7)-(12.1*H5)-13.9</f>
        <v>17.430000000000007</v>
      </c>
    </row>
    <row r="43" spans="2:8" x14ac:dyDescent="0.35">
      <c r="B43" s="34" t="s">
        <v>35</v>
      </c>
      <c r="C43" s="35">
        <f>(1.39*C18)+(0.16*C7)-(10.34*C5)-9</f>
        <v>31.030612244897952</v>
      </c>
      <c r="H43" s="35">
        <f>(1.39*H18)+(0.16*H7)-(10.34*H5)-9</f>
        <v>20.591428571428569</v>
      </c>
    </row>
    <row r="44" spans="2:8" x14ac:dyDescent="0.35">
      <c r="B44" s="34" t="s">
        <v>36</v>
      </c>
      <c r="C44" s="35" t="e">
        <f>64-((20*C10)/C13)+(12*C6)</f>
        <v>#DIV/0!</v>
      </c>
      <c r="H44" s="35" t="e">
        <f>64-((20*H10)/H13)+(12*H6)</f>
        <v>#DIV/0!</v>
      </c>
    </row>
    <row r="45" spans="2:8" ht="15" thickBot="1" x14ac:dyDescent="0.4">
      <c r="B45" s="37" t="s">
        <v>37</v>
      </c>
      <c r="C45" s="38">
        <f>(-44.988)+(0.503*C7)+(10.689*C6)+(3.172*C18)-(0.026*(C18^2))+(0.181*C18*C6)-(0.02*C18*C7)-(0.005*C18^2*C6)+(0.00021*C18^2*C7)</f>
        <v>31.915463240316555</v>
      </c>
      <c r="H45" s="38">
        <f>(-44.988)+(0.503*H7)+(10.689*H6)+(3.172*H18)-(0.026*(H18^2))+(0.181*H18*H6)-(0.02*H18*H7)-(0.005*H18^2*H6)+(0.00021*H18^2*H7)</f>
        <v>21.865326530612251</v>
      </c>
    </row>
    <row r="46" spans="2:8" x14ac:dyDescent="0.35">
      <c r="B46" s="31" t="s">
        <v>38</v>
      </c>
      <c r="C46" s="40" t="e">
        <f>AVERAGE(C39:C45)</f>
        <v>#DIV/0!</v>
      </c>
      <c r="H46" s="40" t="e">
        <f>AVERAGE(H39:H45)</f>
        <v>#DIV/0!</v>
      </c>
    </row>
    <row r="47" spans="2:8" ht="15" thickBot="1" x14ac:dyDescent="0.4">
      <c r="B47" s="42" t="s">
        <v>39</v>
      </c>
      <c r="C47" s="43" t="e">
        <f>MEDIAN(C39:C45)</f>
        <v>#DIV/0!</v>
      </c>
      <c r="H47" s="43" t="e">
        <f>MEDIAN(H39:H45)</f>
        <v>#DIV/0!</v>
      </c>
    </row>
    <row r="48" spans="2:8" ht="15" thickBot="1" x14ac:dyDescent="0.4">
      <c r="B48" s="6"/>
      <c r="C48" s="6"/>
      <c r="H48" s="6"/>
    </row>
    <row r="49" spans="2:8" x14ac:dyDescent="0.35">
      <c r="B49" s="45" t="s">
        <v>40</v>
      </c>
      <c r="C49" s="46"/>
      <c r="H49" s="46"/>
    </row>
    <row r="50" spans="2:8" x14ac:dyDescent="0.35">
      <c r="B50" s="48" t="s">
        <v>41</v>
      </c>
      <c r="C50" s="49">
        <f>(0.407*C8)+(0.267*C10)-19.2</f>
        <v>65.375999999999991</v>
      </c>
      <c r="H50" s="49">
        <f>(0.407*H8)+(0.267*H10)-19.2</f>
        <v>56.015000000000001</v>
      </c>
    </row>
    <row r="51" spans="2:8" x14ac:dyDescent="0.35">
      <c r="B51" s="48" t="s">
        <v>42</v>
      </c>
      <c r="C51" s="49">
        <f>(1.1*C8)-(128*(C8/C10)^2)</f>
        <v>66.150710204081633</v>
      </c>
      <c r="H51" s="49">
        <f>(1.1*H8)-(128*(H8/H10)^2)</f>
        <v>56.519999999999996</v>
      </c>
    </row>
    <row r="52" spans="2:8" ht="15" thickBot="1" x14ac:dyDescent="0.4">
      <c r="B52" s="51" t="s">
        <v>43</v>
      </c>
      <c r="C52" s="52">
        <f>(0.3281*C8) + (0.33929*C10)-29.5336</f>
        <v>60.355449999999998</v>
      </c>
      <c r="H52" s="52">
        <f>(0.3281*H8) + (0.33929*H10)-29.5336</f>
        <v>52.809149999999995</v>
      </c>
    </row>
    <row r="53" spans="2:8" x14ac:dyDescent="0.35">
      <c r="B53" s="45" t="s">
        <v>44</v>
      </c>
      <c r="C53" s="54">
        <f>AVERAGE(C50:C52)</f>
        <v>63.9607200680272</v>
      </c>
      <c r="H53" s="54">
        <f>AVERAGE(H50:H52)</f>
        <v>55.114716666666659</v>
      </c>
    </row>
    <row r="54" spans="2:8" ht="15" thickBot="1" x14ac:dyDescent="0.4">
      <c r="B54" s="56" t="s">
        <v>45</v>
      </c>
      <c r="C54" s="57">
        <f>MEDIAN(C50:C52)</f>
        <v>65.375999999999991</v>
      </c>
      <c r="H54" s="57">
        <f>MEDIAN(H50:H52)</f>
        <v>56.015000000000001</v>
      </c>
    </row>
    <row r="55" spans="2:8" ht="15" thickBot="1" x14ac:dyDescent="0.4">
      <c r="B55" s="6"/>
      <c r="C55" s="15"/>
      <c r="H55" s="15"/>
    </row>
    <row r="56" spans="2:8" x14ac:dyDescent="0.35">
      <c r="B56" s="59" t="s">
        <v>46</v>
      </c>
      <c r="C56" s="60"/>
      <c r="H56" s="60"/>
    </row>
    <row r="57" spans="2:8" x14ac:dyDescent="0.35">
      <c r="B57" s="62" t="s">
        <v>47</v>
      </c>
      <c r="C57" s="63">
        <f>(0.988*C18) + (0.242*C8)+(0.094*C5)-30.18</f>
        <v>22.422938775510204</v>
      </c>
      <c r="H57" s="63">
        <f>(0.988*H18) + (0.242*H8)+(0.094*H5)-30.18</f>
        <v>9.4368571428571428</v>
      </c>
    </row>
    <row r="58" spans="2:8" ht="15" thickBot="1" x14ac:dyDescent="0.4">
      <c r="B58" s="65" t="s">
        <v>48</v>
      </c>
      <c r="C58" s="66">
        <f>C8-C54</f>
        <v>27.624000000000009</v>
      </c>
      <c r="H58" s="66">
        <f>H8-H54</f>
        <v>13.984999999999999</v>
      </c>
    </row>
    <row r="59" spans="2:8" ht="15" thickBot="1" x14ac:dyDescent="0.4">
      <c r="B59" s="13"/>
      <c r="C59" s="16"/>
      <c r="H59" s="16"/>
    </row>
    <row r="60" spans="2:8" ht="15" thickBot="1" x14ac:dyDescent="0.4">
      <c r="B60" s="68" t="s">
        <v>49</v>
      </c>
      <c r="C60" s="69">
        <f>C53/C11^2</f>
        <v>20.885133083437452</v>
      </c>
      <c r="H60" s="69">
        <f>H53/H11^2</f>
        <v>17.996642176870747</v>
      </c>
    </row>
    <row r="61" spans="2:8" ht="15" thickBot="1" x14ac:dyDescent="0.4">
      <c r="B61" s="13"/>
      <c r="C61" s="13"/>
      <c r="H61" s="13"/>
    </row>
    <row r="62" spans="2:8" ht="15" thickBot="1" x14ac:dyDescent="0.4">
      <c r="B62" s="71" t="s">
        <v>50</v>
      </c>
      <c r="C62" s="72" t="e">
        <f>C13/C14</f>
        <v>#DIV/0!</v>
      </c>
      <c r="H62" s="72" t="e">
        <f>H13/H14</f>
        <v>#DIV/0!</v>
      </c>
    </row>
    <row r="63" spans="2:8" ht="15" thickBot="1" x14ac:dyDescent="0.4">
      <c r="B63" s="71" t="s">
        <v>51</v>
      </c>
      <c r="C63" s="72">
        <f>C13/C10</f>
        <v>0</v>
      </c>
      <c r="H63" s="72">
        <f>H13/H10</f>
        <v>0</v>
      </c>
    </row>
    <row r="64" spans="2:8" ht="15" thickBot="1" x14ac:dyDescent="0.4">
      <c r="B64" s="13"/>
      <c r="C64" s="13"/>
      <c r="H64" s="13"/>
    </row>
    <row r="65" spans="2:8" x14ac:dyDescent="0.35">
      <c r="B65" s="74" t="s">
        <v>52</v>
      </c>
      <c r="C65" s="75"/>
      <c r="H65" s="75"/>
    </row>
    <row r="66" spans="2:8" x14ac:dyDescent="0.35">
      <c r="B66" s="77" t="s">
        <v>53</v>
      </c>
      <c r="C66" s="78">
        <f>259*((C8^0.48)*(C11^0.5)*(C7^-0.13))</f>
        <v>1810.1163068555277</v>
      </c>
      <c r="H66" s="78">
        <f>259*((H8^0.48)*(H11^0.5)*(H7^-0.13))</f>
        <v>1579.3621462367232</v>
      </c>
    </row>
    <row r="67" spans="2:8" x14ac:dyDescent="0.35">
      <c r="B67" s="77" t="s">
        <v>54</v>
      </c>
      <c r="C67" s="78">
        <f t="shared" ref="C67" si="18">C66*1.37</f>
        <v>2479.8593403920731</v>
      </c>
      <c r="H67" s="125">
        <f t="shared" ref="H67" si="19">H66*1.37</f>
        <v>2163.7261403443108</v>
      </c>
    </row>
    <row r="68" spans="2:8" x14ac:dyDescent="0.35">
      <c r="B68" s="77" t="s">
        <v>55</v>
      </c>
      <c r="C68" s="78">
        <f t="shared" ref="C68" si="20">C66*1.55</f>
        <v>2805.6802756260681</v>
      </c>
      <c r="H68" s="78">
        <f t="shared" ref="H68" si="21">H66*1.55</f>
        <v>2448.0113266669209</v>
      </c>
    </row>
    <row r="69" spans="2:8" ht="15" thickBot="1" x14ac:dyDescent="0.4">
      <c r="B69" s="80" t="s">
        <v>56</v>
      </c>
      <c r="C69" s="81">
        <f t="shared" ref="C69" si="22">C66*1.8</f>
        <v>3258.2093523399499</v>
      </c>
      <c r="D69" t="s">
        <v>149</v>
      </c>
      <c r="H69" s="81">
        <f t="shared" ref="H69" si="23">H66*1.8</f>
        <v>2842.8518632261021</v>
      </c>
    </row>
  </sheetData>
  <mergeCells count="1">
    <mergeCell ref="B3:C3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67"/>
  <sheetViews>
    <sheetView topLeftCell="A30" workbookViewId="0">
      <selection activeCell="D14" sqref="D14"/>
    </sheetView>
  </sheetViews>
  <sheetFormatPr defaultColWidth="11.453125" defaultRowHeight="14.5" x14ac:dyDescent="0.35"/>
  <cols>
    <col min="1" max="1" width="10.81640625" customWidth="1"/>
    <col min="2" max="2" width="31.26953125" customWidth="1"/>
    <col min="3" max="3" width="17.54296875" customWidth="1"/>
    <col min="4" max="4" width="12.1796875" bestFit="1" customWidth="1"/>
  </cols>
  <sheetData>
    <row r="2" spans="2:9" ht="31.5" thickBot="1" x14ac:dyDescent="0.75">
      <c r="F2" s="142" t="s">
        <v>59</v>
      </c>
      <c r="G2" t="s">
        <v>59</v>
      </c>
    </row>
    <row r="3" spans="2:9" ht="21.5" thickBot="1" x14ac:dyDescent="0.55000000000000004">
      <c r="B3" s="242" t="s">
        <v>0</v>
      </c>
      <c r="C3" s="243"/>
      <c r="D3" s="244"/>
    </row>
    <row r="4" spans="2:9" ht="16" thickBot="1" x14ac:dyDescent="0.4">
      <c r="B4" s="10" t="s">
        <v>1</v>
      </c>
      <c r="C4" s="11" t="s">
        <v>3</v>
      </c>
      <c r="D4" s="84" t="s">
        <v>83</v>
      </c>
      <c r="E4" s="1"/>
      <c r="F4" s="111" t="s">
        <v>59</v>
      </c>
      <c r="G4" s="152" t="s">
        <v>94</v>
      </c>
      <c r="H4" s="153"/>
      <c r="I4" s="146"/>
    </row>
    <row r="5" spans="2:9" x14ac:dyDescent="0.35">
      <c r="B5" s="6" t="s">
        <v>4</v>
      </c>
      <c r="C5" s="6">
        <v>0</v>
      </c>
      <c r="D5" s="6">
        <v>0</v>
      </c>
      <c r="F5" s="111" t="s">
        <v>59</v>
      </c>
      <c r="G5" s="154" t="s">
        <v>95</v>
      </c>
      <c r="H5" s="155" t="s">
        <v>85</v>
      </c>
      <c r="I5" s="156" t="s">
        <v>86</v>
      </c>
    </row>
    <row r="6" spans="2:9" x14ac:dyDescent="0.35">
      <c r="B6" s="3" t="s">
        <v>4</v>
      </c>
      <c r="C6" s="3">
        <v>1</v>
      </c>
      <c r="D6" s="3">
        <v>1</v>
      </c>
      <c r="F6" s="111" t="s">
        <v>59</v>
      </c>
      <c r="G6" s="157">
        <v>1.59</v>
      </c>
      <c r="H6" s="158">
        <v>19</v>
      </c>
      <c r="I6" s="159">
        <f>(G6^2)*H6</f>
        <v>48.033900000000003</v>
      </c>
    </row>
    <row r="7" spans="2:9" ht="15" thickBot="1" x14ac:dyDescent="0.4">
      <c r="B7" s="3" t="s">
        <v>5</v>
      </c>
      <c r="C7" s="3">
        <v>30</v>
      </c>
      <c r="D7" s="4">
        <v>30</v>
      </c>
      <c r="F7" s="111" t="s">
        <v>59</v>
      </c>
      <c r="G7" s="160">
        <v>1.59</v>
      </c>
      <c r="H7" s="201">
        <v>24</v>
      </c>
      <c r="I7" s="161">
        <f>(G7^2)*H7</f>
        <v>60.674400000000006</v>
      </c>
    </row>
    <row r="8" spans="2:9" x14ac:dyDescent="0.35">
      <c r="B8" s="3" t="s">
        <v>6</v>
      </c>
      <c r="C8" s="3">
        <v>63</v>
      </c>
      <c r="D8" s="4">
        <v>70</v>
      </c>
    </row>
    <row r="9" spans="2:9" x14ac:dyDescent="0.35">
      <c r="B9" s="3" t="s">
        <v>7</v>
      </c>
      <c r="C9" s="2">
        <f t="shared" ref="C9:D9" si="0">C8*2.20462</f>
        <v>138.89105999999998</v>
      </c>
      <c r="D9" s="2">
        <f t="shared" si="0"/>
        <v>154.32339999999999</v>
      </c>
    </row>
    <row r="10" spans="2:9" x14ac:dyDescent="0.35">
      <c r="B10" s="3" t="s">
        <v>8</v>
      </c>
      <c r="C10" s="3">
        <v>165</v>
      </c>
      <c r="D10" s="4">
        <v>159</v>
      </c>
    </row>
    <row r="11" spans="2:9" x14ac:dyDescent="0.35">
      <c r="B11" s="3" t="s">
        <v>9</v>
      </c>
      <c r="C11" s="3">
        <f t="shared" ref="C11:D11" si="1" xml:space="preserve"> C10/100</f>
        <v>1.65</v>
      </c>
      <c r="D11" s="3">
        <f t="shared" si="1"/>
        <v>1.59</v>
      </c>
    </row>
    <row r="12" spans="2:9" x14ac:dyDescent="0.35">
      <c r="B12" s="3" t="s">
        <v>10</v>
      </c>
      <c r="C12" s="2">
        <f t="shared" ref="C12:D12" si="2">C10/2.54</f>
        <v>64.960629921259837</v>
      </c>
      <c r="D12" s="2">
        <f t="shared" si="2"/>
        <v>62.598425196850393</v>
      </c>
    </row>
    <row r="13" spans="2:9" ht="15" thickBot="1" x14ac:dyDescent="0.4">
      <c r="B13" s="3" t="s">
        <v>11</v>
      </c>
      <c r="C13" s="3">
        <v>75</v>
      </c>
      <c r="D13" s="4">
        <v>90</v>
      </c>
      <c r="H13" s="131" t="s">
        <v>59</v>
      </c>
      <c r="I13" s="134" t="s">
        <v>59</v>
      </c>
    </row>
    <row r="14" spans="2:9" x14ac:dyDescent="0.35">
      <c r="B14" s="3" t="s">
        <v>12</v>
      </c>
      <c r="C14" s="3">
        <v>100</v>
      </c>
      <c r="D14" s="4"/>
      <c r="F14" s="145" t="s">
        <v>92</v>
      </c>
      <c r="G14" s="146"/>
    </row>
    <row r="15" spans="2:9" x14ac:dyDescent="0.35">
      <c r="B15" s="3" t="s">
        <v>13</v>
      </c>
      <c r="C15" s="3">
        <v>93</v>
      </c>
      <c r="D15" s="4"/>
      <c r="F15" s="147" t="s">
        <v>89</v>
      </c>
      <c r="G15" s="151">
        <v>13</v>
      </c>
    </row>
    <row r="16" spans="2:9" x14ac:dyDescent="0.35">
      <c r="B16" s="3" t="s">
        <v>14</v>
      </c>
      <c r="C16" s="3">
        <v>16</v>
      </c>
      <c r="D16" s="4"/>
      <c r="F16" s="147" t="s">
        <v>90</v>
      </c>
      <c r="G16" s="151">
        <v>4</v>
      </c>
    </row>
    <row r="17" spans="2:8" ht="15" thickBot="1" x14ac:dyDescent="0.4">
      <c r="B17" s="5"/>
      <c r="C17" s="5"/>
      <c r="D17" s="5"/>
      <c r="F17" s="147" t="s">
        <v>91</v>
      </c>
      <c r="G17" s="151">
        <v>1986</v>
      </c>
    </row>
    <row r="18" spans="2:8" ht="15" thickBot="1" x14ac:dyDescent="0.4">
      <c r="B18" s="7" t="s">
        <v>15</v>
      </c>
      <c r="C18" s="8">
        <f t="shared" ref="C18:D18" si="3">C8/C11^2</f>
        <v>23.140495867768596</v>
      </c>
      <c r="D18" s="85">
        <f t="shared" si="3"/>
        <v>27.688778133776353</v>
      </c>
      <c r="F18" s="148"/>
      <c r="G18" s="149"/>
    </row>
    <row r="19" spans="2:8" ht="15" thickBot="1" x14ac:dyDescent="0.4">
      <c r="B19" s="13"/>
      <c r="C19" s="13"/>
      <c r="D19" s="13"/>
      <c r="F19" s="147" t="s">
        <v>143</v>
      </c>
      <c r="G19" s="149"/>
    </row>
    <row r="20" spans="2:8" x14ac:dyDescent="0.35">
      <c r="B20" s="17" t="s">
        <v>16</v>
      </c>
      <c r="C20" s="18"/>
      <c r="D20" s="19"/>
      <c r="F20" s="147" t="s">
        <v>89</v>
      </c>
      <c r="G20" s="151">
        <v>21</v>
      </c>
    </row>
    <row r="21" spans="2:8" x14ac:dyDescent="0.35">
      <c r="B21" s="20" t="s">
        <v>17</v>
      </c>
      <c r="C21" s="21">
        <f t="shared" ref="C21:D21" si="4">C11^2*22</f>
        <v>59.894999999999996</v>
      </c>
      <c r="D21" s="88">
        <f t="shared" si="4"/>
        <v>55.618200000000002</v>
      </c>
      <c r="F21" s="147" t="s">
        <v>90</v>
      </c>
      <c r="G21" s="151">
        <v>4</v>
      </c>
    </row>
    <row r="22" spans="2:8" x14ac:dyDescent="0.35">
      <c r="B22" s="20" t="s">
        <v>18</v>
      </c>
      <c r="C22" s="23">
        <f t="shared" ref="C22:D22" si="5">C10-100</f>
        <v>65</v>
      </c>
      <c r="D22" s="88">
        <f t="shared" si="5"/>
        <v>59</v>
      </c>
      <c r="F22" s="147" t="s">
        <v>91</v>
      </c>
      <c r="G22" s="151">
        <v>2016</v>
      </c>
    </row>
    <row r="23" spans="2:8" x14ac:dyDescent="0.35">
      <c r="B23" s="20" t="s">
        <v>19</v>
      </c>
      <c r="C23" s="23">
        <f>(C10-100)-((C10-150)/2.5)</f>
        <v>59</v>
      </c>
      <c r="D23" s="88">
        <f>(D10-100)-((D10-150)/2.5)</f>
        <v>55.4</v>
      </c>
      <c r="F23" s="148"/>
      <c r="G23" s="149"/>
    </row>
    <row r="24" spans="2:8" ht="15" thickBot="1" x14ac:dyDescent="0.4">
      <c r="B24" s="20" t="s">
        <v>20</v>
      </c>
      <c r="C24" s="21">
        <f>45.5 + (2.3 * (C12-60))</f>
        <v>56.909448818897623</v>
      </c>
      <c r="D24" s="88">
        <f>45.5 + (2.3 * (D12-60))</f>
        <v>51.476377952755904</v>
      </c>
      <c r="F24" s="150" t="s">
        <v>84</v>
      </c>
      <c r="G24" s="162">
        <f>(DATE(G22,G21,G20)-DATE(G17,G16,G15))/365.25</f>
        <v>30.023271731690624</v>
      </c>
      <c r="H24" s="144" t="s">
        <v>59</v>
      </c>
    </row>
    <row r="25" spans="2:8" x14ac:dyDescent="0.35">
      <c r="B25" s="20" t="s">
        <v>21</v>
      </c>
      <c r="C25" s="23">
        <f t="shared" ref="C25:D25" si="6">((C10-100) + (C7/10))*0.9</f>
        <v>61.2</v>
      </c>
      <c r="D25" s="88">
        <f t="shared" si="6"/>
        <v>55.800000000000004</v>
      </c>
    </row>
    <row r="26" spans="2:8" x14ac:dyDescent="0.35">
      <c r="B26" s="20" t="s">
        <v>22</v>
      </c>
      <c r="C26" s="23">
        <f t="shared" ref="C26:D26" si="7">((C10-100)+(C7/10))*0.9</f>
        <v>61.2</v>
      </c>
      <c r="D26" s="88">
        <f t="shared" si="7"/>
        <v>55.800000000000004</v>
      </c>
    </row>
    <row r="27" spans="2:8" x14ac:dyDescent="0.35">
      <c r="B27" s="20" t="s">
        <v>23</v>
      </c>
      <c r="C27" s="23">
        <f t="shared" ref="C27:D27" si="8">((C10-100)+(C7/10))*0.9^2</f>
        <v>55.080000000000005</v>
      </c>
      <c r="D27" s="88">
        <f t="shared" si="8"/>
        <v>50.220000000000006</v>
      </c>
    </row>
    <row r="28" spans="2:8" x14ac:dyDescent="0.35">
      <c r="B28" s="20" t="s">
        <v>24</v>
      </c>
      <c r="C28" s="23">
        <f t="shared" ref="C28:D28" si="9">((C10-100)+(C7/10))*0.9*1.1</f>
        <v>67.320000000000007</v>
      </c>
      <c r="D28" s="88">
        <f t="shared" si="9"/>
        <v>61.38000000000001</v>
      </c>
    </row>
    <row r="29" spans="2:8" x14ac:dyDescent="0.35">
      <c r="B29" s="20" t="s">
        <v>25</v>
      </c>
      <c r="C29" s="23">
        <f t="shared" ref="C29" si="10">((C10-100)+(4*C16))/2</f>
        <v>64.5</v>
      </c>
      <c r="D29" s="88"/>
    </row>
    <row r="30" spans="2:8" x14ac:dyDescent="0.35">
      <c r="B30" s="20" t="s">
        <v>26</v>
      </c>
      <c r="C30" s="23">
        <f t="shared" ref="C30" si="11">(C10*C15)/240</f>
        <v>63.9375</v>
      </c>
      <c r="D30" s="88"/>
    </row>
    <row r="31" spans="2:8" ht="15" thickBot="1" x14ac:dyDescent="0.4">
      <c r="B31" s="25" t="s">
        <v>27</v>
      </c>
      <c r="C31" s="26">
        <f>(-111.621+(3.636*C12))*0.454</f>
        <v>56.557436078740153</v>
      </c>
      <c r="D31" s="89">
        <f>(-111.621+(3.636*D12))*0.454</f>
        <v>52.658040803149603</v>
      </c>
    </row>
    <row r="32" spans="2:8" x14ac:dyDescent="0.35">
      <c r="B32" s="17" t="s">
        <v>28</v>
      </c>
      <c r="C32" s="29">
        <f>AVERAGE(C21:C31)</f>
        <v>60.963580445239792</v>
      </c>
      <c r="D32" s="90">
        <f>AVERAGE(D21:D31)</f>
        <v>55.261402083989509</v>
      </c>
    </row>
    <row r="33" spans="2:4" ht="15" thickBot="1" x14ac:dyDescent="0.4">
      <c r="B33" s="28" t="s">
        <v>29</v>
      </c>
      <c r="C33" s="30">
        <f>MEDIAN(C21:C31)</f>
        <v>61.2</v>
      </c>
      <c r="D33" s="91">
        <f>MEDIAN(D21:D31)</f>
        <v>55.618200000000002</v>
      </c>
    </row>
    <row r="34" spans="2:4" x14ac:dyDescent="0.35">
      <c r="B34" s="14"/>
      <c r="C34" s="6"/>
      <c r="D34" s="6"/>
    </row>
    <row r="35" spans="2:4" ht="15" thickBot="1" x14ac:dyDescent="0.4">
      <c r="B35" s="5"/>
      <c r="C35" s="5"/>
      <c r="D35" s="5"/>
    </row>
    <row r="36" spans="2:4" x14ac:dyDescent="0.35">
      <c r="B36" s="31" t="s">
        <v>30</v>
      </c>
      <c r="C36" s="32"/>
      <c r="D36" s="33"/>
    </row>
    <row r="37" spans="2:4" x14ac:dyDescent="0.35">
      <c r="B37" s="34" t="s">
        <v>31</v>
      </c>
      <c r="C37" s="35">
        <f xml:space="preserve"> (1.2 * C18) + (0.23*C7) - (10.8*C5) - 5.4</f>
        <v>29.268595041322314</v>
      </c>
      <c r="D37" s="36">
        <f xml:space="preserve"> (1.2 * D18) + (0.23*D7) - (10.8*D5) - 5.4</f>
        <v>34.726533760531623</v>
      </c>
    </row>
    <row r="38" spans="2:4" x14ac:dyDescent="0.35">
      <c r="B38" s="34" t="s">
        <v>32</v>
      </c>
      <c r="C38" s="35">
        <f>(1.29*C18)+(0.2*C7)-(11.4*C5)-8</f>
        <v>27.851239669421489</v>
      </c>
      <c r="D38" s="36">
        <f>(1.29*D18)+(0.2*D7)-(11.4*D5)-8</f>
        <v>33.718523792571496</v>
      </c>
    </row>
    <row r="39" spans="2:4" x14ac:dyDescent="0.35">
      <c r="B39" s="34" t="s">
        <v>33</v>
      </c>
      <c r="C39" s="35">
        <f>(1.46*C18)+ (0.14*C7)-(11.6*C5)-10</f>
        <v>27.985123966942155</v>
      </c>
      <c r="D39" s="36">
        <f>(1.46*D18)+ (0.14*D7)-(11.6*D5)-10</f>
        <v>34.625616075313474</v>
      </c>
    </row>
    <row r="40" spans="2:4" x14ac:dyDescent="0.35">
      <c r="B40" s="34" t="s">
        <v>34</v>
      </c>
      <c r="C40" s="35">
        <f>(1.61*C18) + (0.13*C7)-(12.1*C5)-13.9</f>
        <v>27.256198347107443</v>
      </c>
      <c r="D40" s="36">
        <f>(1.61*D18) + (0.13*D7)-(12.1*D5)-13.9</f>
        <v>34.578932795379927</v>
      </c>
    </row>
    <row r="41" spans="2:4" x14ac:dyDescent="0.35">
      <c r="B41" s="34" t="s">
        <v>35</v>
      </c>
      <c r="C41" s="35">
        <f>(1.39*C18)+(0.16*C7)-(10.34*C5)-9</f>
        <v>27.965289256198346</v>
      </c>
      <c r="D41" s="36">
        <f>(1.39*D18)+(0.16*D7)-(10.34*D5)-9</f>
        <v>34.287401605949128</v>
      </c>
    </row>
    <row r="42" spans="2:4" x14ac:dyDescent="0.35">
      <c r="B42" s="34" t="s">
        <v>36</v>
      </c>
      <c r="C42" s="35">
        <f>64-((20*C10)/C13)+(12*C6)</f>
        <v>32</v>
      </c>
      <c r="D42" s="36">
        <f>64-((20*D10)/D13)+(12*D6)</f>
        <v>40.666666666666664</v>
      </c>
    </row>
    <row r="43" spans="2:4" ht="15" thickBot="1" x14ac:dyDescent="0.4">
      <c r="B43" s="37" t="s">
        <v>37</v>
      </c>
      <c r="C43" s="38">
        <f>(-44.988)+(0.503*C7)+(10.689*C6)+(3.172*C18)-(0.026*(C18^2))+(0.181*C18*C6)-(0.02*C18*C7)-(0.005*C18^2*C6)+(0.00021*C18^2*C7)</f>
        <v>31.270366163513412</v>
      </c>
      <c r="D43" s="39">
        <f>(-44.988)+(0.503*D7)+(10.689*D6)+(3.172*D18)-(0.026*(D18^2))+(0.181*D18*D6)-(0.02*D18*D7)-(0.005*D18^2*D6)+(0.00021*D18^2*D7)</f>
        <v>38.081495869111464</v>
      </c>
    </row>
    <row r="44" spans="2:4" x14ac:dyDescent="0.35">
      <c r="B44" s="31" t="s">
        <v>38</v>
      </c>
      <c r="C44" s="40">
        <f>AVERAGE(C37:C43)</f>
        <v>29.085258920643593</v>
      </c>
      <c r="D44" s="41">
        <f>AVERAGE(D37:D43)</f>
        <v>35.812167223646256</v>
      </c>
    </row>
    <row r="45" spans="2:4" ht="15" thickBot="1" x14ac:dyDescent="0.4">
      <c r="B45" s="42" t="s">
        <v>39</v>
      </c>
      <c r="C45" s="43">
        <f>MEDIAN(C37:C43)</f>
        <v>27.985123966942155</v>
      </c>
      <c r="D45" s="44">
        <f>MEDIAN(D37:D43)</f>
        <v>34.625616075313474</v>
      </c>
    </row>
    <row r="46" spans="2:4" ht="15" thickBot="1" x14ac:dyDescent="0.4">
      <c r="B46" s="6"/>
      <c r="C46" s="6"/>
      <c r="D46" s="6"/>
    </row>
    <row r="47" spans="2:4" x14ac:dyDescent="0.35">
      <c r="B47" s="45" t="s">
        <v>40</v>
      </c>
      <c r="C47" s="46"/>
      <c r="D47" s="47"/>
    </row>
    <row r="48" spans="2:4" x14ac:dyDescent="0.35">
      <c r="B48" s="48" t="s">
        <v>41</v>
      </c>
      <c r="C48" s="49">
        <f>(0.252*C8)+(0.473*C10)-48.3</f>
        <v>45.621000000000009</v>
      </c>
      <c r="D48" s="50">
        <f>(0.407*D8)+(0.267*D10)-19.2</f>
        <v>51.742999999999995</v>
      </c>
    </row>
    <row r="49" spans="2:6" x14ac:dyDescent="0.35">
      <c r="B49" s="48" t="s">
        <v>42</v>
      </c>
      <c r="C49" s="49">
        <f>(1.07*C8)-(148*(C8/C10)^2)</f>
        <v>45.833801652892575</v>
      </c>
      <c r="D49" s="50">
        <f>(1.1*D8)-(128*(D8/D10)^2)</f>
        <v>52.190854792136385</v>
      </c>
    </row>
    <row r="50" spans="2:6" ht="15" thickBot="1" x14ac:dyDescent="0.4">
      <c r="B50" s="51" t="s">
        <v>43</v>
      </c>
      <c r="C50" s="52">
        <f>(0.29569*C8) + (0.41813*C10)-43.2933</f>
        <v>44.326620000000005</v>
      </c>
      <c r="D50" s="53">
        <f>(0.3281*D8) + (0.33929*D10)-29.5336</f>
        <v>47.380509999999994</v>
      </c>
    </row>
    <row r="51" spans="2:6" x14ac:dyDescent="0.35">
      <c r="B51" s="45" t="s">
        <v>44</v>
      </c>
      <c r="C51" s="54">
        <f>AVERAGE(C48:C50)</f>
        <v>45.260473884297532</v>
      </c>
      <c r="D51" s="55">
        <f>AVERAGE(D48:D50)</f>
        <v>50.438121597378789</v>
      </c>
    </row>
    <row r="52" spans="2:6" ht="15" thickBot="1" x14ac:dyDescent="0.4">
      <c r="B52" s="56" t="s">
        <v>45</v>
      </c>
      <c r="C52" s="57">
        <f>MEDIAN(C48:C50)</f>
        <v>45.621000000000009</v>
      </c>
      <c r="D52" s="58">
        <f>MEDIAN(D48:D50)</f>
        <v>51.742999999999995</v>
      </c>
    </row>
    <row r="53" spans="2:6" ht="15" thickBot="1" x14ac:dyDescent="0.4">
      <c r="B53" s="6"/>
      <c r="C53" s="15"/>
      <c r="D53" s="15"/>
    </row>
    <row r="54" spans="2:6" x14ac:dyDescent="0.35">
      <c r="B54" s="59" t="s">
        <v>46</v>
      </c>
      <c r="C54" s="60"/>
      <c r="D54" s="61"/>
    </row>
    <row r="55" spans="2:6" x14ac:dyDescent="0.35">
      <c r="B55" s="62" t="s">
        <v>47</v>
      </c>
      <c r="C55" s="63">
        <f>(0.988*C18) + (0.344*C8)+(0.094*C7)-30.18</f>
        <v>17.174809917355375</v>
      </c>
      <c r="D55" s="64">
        <f>(0.988*D18) + (0.344*D8)+(0.094*D5)-30.18</f>
        <v>21.25651279617103</v>
      </c>
    </row>
    <row r="56" spans="2:6" ht="15" thickBot="1" x14ac:dyDescent="0.4">
      <c r="B56" s="65" t="s">
        <v>48</v>
      </c>
      <c r="C56" s="66">
        <f>C8-C52</f>
        <v>17.378999999999991</v>
      </c>
      <c r="D56" s="67">
        <f>D8-D52</f>
        <v>18.257000000000005</v>
      </c>
    </row>
    <row r="57" spans="2:6" ht="15" thickBot="1" x14ac:dyDescent="0.4">
      <c r="B57" s="13"/>
      <c r="C57" s="16"/>
      <c r="D57" s="16"/>
    </row>
    <row r="58" spans="2:6" ht="15" thickBot="1" x14ac:dyDescent="0.4">
      <c r="B58" s="68" t="s">
        <v>49</v>
      </c>
      <c r="C58" s="69">
        <f>C51/C11^2</f>
        <v>16.624600141156119</v>
      </c>
      <c r="D58" s="70">
        <f>D51/D11^2</f>
        <v>19.950999405632206</v>
      </c>
    </row>
    <row r="59" spans="2:6" ht="15" thickBot="1" x14ac:dyDescent="0.4">
      <c r="B59" s="13"/>
      <c r="C59" s="13"/>
      <c r="D59" s="13"/>
      <c r="F59" t="s">
        <v>144</v>
      </c>
    </row>
    <row r="60" spans="2:6" ht="15" thickBot="1" x14ac:dyDescent="0.4">
      <c r="B60" s="71" t="s">
        <v>50</v>
      </c>
      <c r="C60" s="72">
        <f>C13/C14</f>
        <v>0.75</v>
      </c>
      <c r="D60" s="73" t="e">
        <f>D13/D14</f>
        <v>#DIV/0!</v>
      </c>
      <c r="F60" s="200" t="s">
        <v>145</v>
      </c>
    </row>
    <row r="61" spans="2:6" ht="15" thickBot="1" x14ac:dyDescent="0.4">
      <c r="B61" s="71" t="s">
        <v>51</v>
      </c>
      <c r="C61" s="72">
        <f>C13/C10</f>
        <v>0.45454545454545453</v>
      </c>
      <c r="D61" s="199">
        <f>D13/D10</f>
        <v>0.56603773584905659</v>
      </c>
      <c r="F61">
        <v>2069</v>
      </c>
    </row>
    <row r="62" spans="2:6" ht="15" thickBot="1" x14ac:dyDescent="0.4">
      <c r="B62" s="13"/>
      <c r="C62" s="13"/>
      <c r="D62" s="13"/>
    </row>
    <row r="63" spans="2:6" x14ac:dyDescent="0.35">
      <c r="B63" s="74" t="s">
        <v>52</v>
      </c>
      <c r="C63" s="75"/>
      <c r="D63" s="76"/>
      <c r="F63" t="s">
        <v>146</v>
      </c>
    </row>
    <row r="64" spans="2:6" x14ac:dyDescent="0.35">
      <c r="B64" s="77" t="s">
        <v>53</v>
      </c>
      <c r="C64" s="78">
        <f>230*((C8^0.48)*(C11^0.5)*(C7^-0.13))</f>
        <v>1387.1630398038285</v>
      </c>
      <c r="D64" s="79">
        <f>230*((D8^0.48)*(D11^0.5)*(D7^-0.13))</f>
        <v>1432.3451909539042</v>
      </c>
      <c r="F64" s="200" t="s">
        <v>147</v>
      </c>
    </row>
    <row r="65" spans="2:6" x14ac:dyDescent="0.35">
      <c r="B65" s="77" t="s">
        <v>54</v>
      </c>
      <c r="C65" s="78">
        <f t="shared" ref="C65:D65" si="12">C64*1.37</f>
        <v>1900.4133645312452</v>
      </c>
      <c r="D65" s="108">
        <f t="shared" si="12"/>
        <v>1962.312911606849</v>
      </c>
      <c r="F65">
        <v>2061</v>
      </c>
    </row>
    <row r="66" spans="2:6" x14ac:dyDescent="0.35">
      <c r="B66" s="77" t="s">
        <v>55</v>
      </c>
      <c r="C66" s="78">
        <f t="shared" ref="C66:D66" si="13">C64*1.55</f>
        <v>2150.1027116959344</v>
      </c>
      <c r="D66" s="79">
        <f t="shared" si="13"/>
        <v>2220.1350459785517</v>
      </c>
    </row>
    <row r="67" spans="2:6" ht="15" thickBot="1" x14ac:dyDescent="0.4">
      <c r="B67" s="80" t="s">
        <v>56</v>
      </c>
      <c r="C67" s="81">
        <f t="shared" ref="C67:D67" si="14">C64*1.8</f>
        <v>2496.8934716468912</v>
      </c>
      <c r="D67" s="82">
        <f t="shared" si="14"/>
        <v>2578.2213437170276</v>
      </c>
    </row>
  </sheetData>
  <mergeCells count="1">
    <mergeCell ref="B3:D3"/>
  </mergeCells>
  <hyperlinks>
    <hyperlink ref="F60" r:id="rId1" xr:uid="{8C4EE5B5-50B4-42F7-AEA7-460CCE0B1C3C}"/>
    <hyperlink ref="F64" r:id="rId2" xr:uid="{E4DC4B35-19FA-4CB2-B4A1-2388F2F370AD}"/>
  </hyperlinks>
  <pageMargins left="0.7" right="0.7" top="0.75" bottom="0.75" header="0.3" footer="0.3"/>
  <pageSetup paperSize="9" orientation="portrait" horizont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5C8B-F3FE-43F1-B0BA-2CCCE99245AB}">
  <dimension ref="B2:J67"/>
  <sheetViews>
    <sheetView topLeftCell="A2" workbookViewId="0">
      <selection activeCell="C12" sqref="C12"/>
    </sheetView>
  </sheetViews>
  <sheetFormatPr defaultColWidth="11.453125" defaultRowHeight="14.5" x14ac:dyDescent="0.35"/>
  <cols>
    <col min="1" max="1" width="10.81640625" customWidth="1"/>
    <col min="2" max="2" width="31.26953125" customWidth="1"/>
    <col min="5" max="5" width="16.54296875" customWidth="1"/>
    <col min="7" max="7" width="16.7265625" bestFit="1" customWidth="1"/>
  </cols>
  <sheetData>
    <row r="2" spans="2:9" ht="15" thickBot="1" x14ac:dyDescent="0.4"/>
    <row r="3" spans="2:9" ht="21.5" thickBot="1" x14ac:dyDescent="0.55000000000000004">
      <c r="B3" s="242" t="s">
        <v>0</v>
      </c>
      <c r="C3" s="243"/>
    </row>
    <row r="4" spans="2:9" ht="16" thickBot="1" x14ac:dyDescent="0.4">
      <c r="B4" s="10" t="s">
        <v>1</v>
      </c>
      <c r="C4" s="241" t="s">
        <v>181</v>
      </c>
      <c r="D4" s="1"/>
      <c r="E4" s="163" t="s">
        <v>87</v>
      </c>
      <c r="F4" s="173"/>
      <c r="G4" s="164"/>
      <c r="H4" s="164"/>
      <c r="I4" s="165"/>
    </row>
    <row r="5" spans="2:9" x14ac:dyDescent="0.35">
      <c r="B5" s="6" t="s">
        <v>4</v>
      </c>
      <c r="C5" s="6">
        <v>1</v>
      </c>
      <c r="E5" s="147"/>
      <c r="F5" s="166" t="s">
        <v>75</v>
      </c>
      <c r="G5" s="155" t="s">
        <v>76</v>
      </c>
      <c r="H5" s="155" t="s">
        <v>88</v>
      </c>
      <c r="I5" s="156" t="s">
        <v>79</v>
      </c>
    </row>
    <row r="6" spans="2:9" x14ac:dyDescent="0.35">
      <c r="B6" s="3" t="s">
        <v>4</v>
      </c>
      <c r="C6" s="3">
        <v>0</v>
      </c>
      <c r="E6" s="167" t="s">
        <v>72</v>
      </c>
      <c r="F6" s="228">
        <v>0.4</v>
      </c>
      <c r="G6" s="140">
        <f>F6*$F$4</f>
        <v>0</v>
      </c>
      <c r="H6" s="138">
        <v>4</v>
      </c>
      <c r="I6" s="175">
        <f>G6/H6</f>
        <v>0</v>
      </c>
    </row>
    <row r="7" spans="2:9" x14ac:dyDescent="0.35">
      <c r="B7" s="3" t="s">
        <v>5</v>
      </c>
      <c r="C7" s="117"/>
      <c r="E7" s="167" t="s">
        <v>73</v>
      </c>
      <c r="F7" s="228">
        <v>0.4</v>
      </c>
      <c r="G7" s="140">
        <f>F7*$F$4</f>
        <v>0</v>
      </c>
      <c r="H7" s="138">
        <v>9</v>
      </c>
      <c r="I7" s="175">
        <f>G7/H7</f>
        <v>0</v>
      </c>
    </row>
    <row r="8" spans="2:9" x14ac:dyDescent="0.35">
      <c r="B8" s="3" t="s">
        <v>6</v>
      </c>
      <c r="C8" s="117"/>
      <c r="E8" s="167" t="s">
        <v>74</v>
      </c>
      <c r="F8" s="228">
        <v>0.2</v>
      </c>
      <c r="G8" s="140">
        <f>F8*$F$4</f>
        <v>0</v>
      </c>
      <c r="H8" s="138">
        <v>4</v>
      </c>
      <c r="I8" s="175">
        <f>G8/H8</f>
        <v>0</v>
      </c>
    </row>
    <row r="9" spans="2:9" ht="15" thickBot="1" x14ac:dyDescent="0.4">
      <c r="B9" s="3" t="s">
        <v>7</v>
      </c>
      <c r="C9" s="2">
        <f>C8*2.20462</f>
        <v>0</v>
      </c>
      <c r="E9" s="150"/>
      <c r="F9" s="168">
        <f>SUM(F6:F8)</f>
        <v>1</v>
      </c>
      <c r="G9" s="169">
        <f>SUM(G6:G8)</f>
        <v>0</v>
      </c>
      <c r="H9" s="170"/>
      <c r="I9" s="171"/>
    </row>
    <row r="10" spans="2:9" x14ac:dyDescent="0.35">
      <c r="B10" s="3" t="s">
        <v>8</v>
      </c>
      <c r="C10" s="4"/>
    </row>
    <row r="11" spans="2:9" x14ac:dyDescent="0.35">
      <c r="B11" s="3" t="s">
        <v>9</v>
      </c>
      <c r="C11" s="3">
        <f t="shared" ref="C11" si="0" xml:space="preserve"> C10/100</f>
        <v>0</v>
      </c>
      <c r="E11" s="203" t="s">
        <v>94</v>
      </c>
      <c r="F11" s="204"/>
      <c r="G11" s="202"/>
    </row>
    <row r="12" spans="2:9" x14ac:dyDescent="0.35">
      <c r="B12" s="3" t="s">
        <v>10</v>
      </c>
      <c r="C12" s="2">
        <f t="shared" ref="C12" si="1">C10/2.54</f>
        <v>0</v>
      </c>
      <c r="E12" s="205" t="s">
        <v>95</v>
      </c>
      <c r="F12" s="155" t="s">
        <v>85</v>
      </c>
      <c r="G12" s="206" t="s">
        <v>86</v>
      </c>
    </row>
    <row r="13" spans="2:9" x14ac:dyDescent="0.35">
      <c r="B13" s="3" t="s">
        <v>11</v>
      </c>
      <c r="C13" s="4"/>
      <c r="E13" s="173"/>
      <c r="F13" s="229">
        <v>23</v>
      </c>
      <c r="G13" s="207">
        <f>(E13^2)*F13</f>
        <v>0</v>
      </c>
    </row>
    <row r="14" spans="2:9" x14ac:dyDescent="0.35">
      <c r="B14" s="3" t="s">
        <v>12</v>
      </c>
      <c r="C14" s="4"/>
    </row>
    <row r="15" spans="2:9" x14ac:dyDescent="0.35">
      <c r="B15" s="3" t="s">
        <v>13</v>
      </c>
      <c r="C15" s="4"/>
    </row>
    <row r="16" spans="2:9" ht="15" thickBot="1" x14ac:dyDescent="0.4">
      <c r="B16" s="3" t="s">
        <v>14</v>
      </c>
      <c r="C16" s="4"/>
    </row>
    <row r="17" spans="2:10" ht="15" thickBot="1" x14ac:dyDescent="0.4">
      <c r="B17" s="5"/>
      <c r="C17" s="5"/>
      <c r="E17" s="145" t="s">
        <v>92</v>
      </c>
      <c r="F17" s="146"/>
    </row>
    <row r="18" spans="2:10" ht="15" thickBot="1" x14ac:dyDescent="0.4">
      <c r="B18" s="7" t="s">
        <v>15</v>
      </c>
      <c r="C18" s="8" t="e">
        <f t="shared" ref="C18" si="2">C8/C11^2</f>
        <v>#DIV/0!</v>
      </c>
      <c r="E18" s="147" t="s">
        <v>89</v>
      </c>
      <c r="F18" s="174">
        <v>26</v>
      </c>
    </row>
    <row r="19" spans="2:10" ht="15" thickBot="1" x14ac:dyDescent="0.4">
      <c r="B19" s="13"/>
      <c r="C19" s="13"/>
      <c r="E19" s="147" t="s">
        <v>90</v>
      </c>
      <c r="F19" s="174">
        <v>4</v>
      </c>
      <c r="H19" s="177"/>
    </row>
    <row r="20" spans="2:10" x14ac:dyDescent="0.35">
      <c r="B20" s="17" t="s">
        <v>16</v>
      </c>
      <c r="C20" s="118"/>
      <c r="E20" s="147" t="s">
        <v>91</v>
      </c>
      <c r="F20" s="174">
        <v>1975</v>
      </c>
    </row>
    <row r="21" spans="2:10" x14ac:dyDescent="0.35">
      <c r="B21" s="20" t="s">
        <v>17</v>
      </c>
      <c r="C21" s="119">
        <f t="shared" ref="C21" si="3">C11^2*22</f>
        <v>0</v>
      </c>
      <c r="E21" s="148"/>
      <c r="F21" s="149"/>
    </row>
    <row r="22" spans="2:10" x14ac:dyDescent="0.35">
      <c r="B22" s="20" t="s">
        <v>18</v>
      </c>
      <c r="C22" s="119">
        <f t="shared" ref="C22" si="4">C10-100</f>
        <v>-100</v>
      </c>
      <c r="E22" s="147" t="s">
        <v>93</v>
      </c>
      <c r="F22" s="149"/>
    </row>
    <row r="23" spans="2:10" x14ac:dyDescent="0.35">
      <c r="B23" s="20" t="s">
        <v>19</v>
      </c>
      <c r="C23" s="119">
        <f>(C10-100)-((C10-150)/4)</f>
        <v>-62.5</v>
      </c>
      <c r="E23" s="147" t="s">
        <v>89</v>
      </c>
      <c r="F23" s="174">
        <v>8</v>
      </c>
    </row>
    <row r="24" spans="2:10" x14ac:dyDescent="0.35">
      <c r="B24" s="20" t="s">
        <v>20</v>
      </c>
      <c r="C24" s="119">
        <f t="shared" ref="C24" si="5">50 + (2.3 * (C12-60))</f>
        <v>-88</v>
      </c>
      <c r="E24" s="147" t="s">
        <v>90</v>
      </c>
      <c r="F24" s="174">
        <v>1</v>
      </c>
      <c r="H24" s="177"/>
    </row>
    <row r="25" spans="2:10" x14ac:dyDescent="0.35">
      <c r="B25" s="20" t="s">
        <v>21</v>
      </c>
      <c r="C25" s="119">
        <f t="shared" ref="C25" si="6">((C10-100) + (C7/10))*0.9</f>
        <v>-90</v>
      </c>
      <c r="E25" s="147" t="s">
        <v>91</v>
      </c>
      <c r="F25" s="174">
        <v>2024</v>
      </c>
    </row>
    <row r="26" spans="2:10" x14ac:dyDescent="0.35">
      <c r="B26" s="20" t="s">
        <v>22</v>
      </c>
      <c r="C26" s="119">
        <f t="shared" ref="C26" si="7">((C10-100)+(C7/10))*0.9</f>
        <v>-90</v>
      </c>
      <c r="E26" s="148"/>
      <c r="F26" s="149"/>
      <c r="H26" s="177"/>
    </row>
    <row r="27" spans="2:10" ht="15" thickBot="1" x14ac:dyDescent="0.4">
      <c r="B27" s="20" t="s">
        <v>23</v>
      </c>
      <c r="C27" s="119">
        <f t="shared" ref="C27" si="8">((C10-100)+(C7/10))*0.9^2</f>
        <v>-81</v>
      </c>
      <c r="E27" s="150" t="s">
        <v>84</v>
      </c>
      <c r="F27" s="176">
        <f>INT((DATE(F25,F24,F23)-DATE(F20,F19,F18))/365.25)</f>
        <v>48</v>
      </c>
    </row>
    <row r="28" spans="2:10" x14ac:dyDescent="0.35">
      <c r="B28" s="20" t="s">
        <v>24</v>
      </c>
      <c r="C28" s="119">
        <f t="shared" ref="C28" si="9">((C10-100)+(C7/10))*0.9*1.1</f>
        <v>-99.000000000000014</v>
      </c>
    </row>
    <row r="29" spans="2:10" x14ac:dyDescent="0.35">
      <c r="B29" s="20" t="s">
        <v>25</v>
      </c>
      <c r="C29" s="119">
        <f t="shared" ref="C29" si="10">((C10-100)+(4*C16))/2</f>
        <v>-50</v>
      </c>
      <c r="E29" s="230" t="s">
        <v>96</v>
      </c>
      <c r="F29" s="173"/>
    </row>
    <row r="30" spans="2:10" x14ac:dyDescent="0.35">
      <c r="B30" s="20" t="s">
        <v>26</v>
      </c>
      <c r="C30" s="119">
        <f t="shared" ref="C30" si="11">(C10*C15)/240</f>
        <v>0</v>
      </c>
      <c r="E30" s="231" t="s">
        <v>180</v>
      </c>
      <c r="F30" s="173"/>
    </row>
    <row r="31" spans="2:10" ht="15" thickBot="1" x14ac:dyDescent="0.4">
      <c r="B31" s="25" t="s">
        <v>27</v>
      </c>
      <c r="C31" s="120">
        <f>(-130.736+(4.064*C12))*0.454</f>
        <v>-59.354143999999998</v>
      </c>
      <c r="E31" s="232" t="s">
        <v>67</v>
      </c>
      <c r="F31" s="233">
        <f>F29-F30</f>
        <v>0</v>
      </c>
    </row>
    <row r="32" spans="2:10" x14ac:dyDescent="0.35">
      <c r="B32" s="17" t="s">
        <v>28</v>
      </c>
      <c r="C32" s="90">
        <f>AVERAGE(C21:C31)</f>
        <v>-65.441285818181825</v>
      </c>
      <c r="E32" s="232" t="s">
        <v>97</v>
      </c>
      <c r="F32" s="173">
        <v>7000</v>
      </c>
      <c r="J32" t="s">
        <v>59</v>
      </c>
    </row>
    <row r="33" spans="2:6" ht="15" thickBot="1" x14ac:dyDescent="0.4">
      <c r="B33" s="28" t="s">
        <v>29</v>
      </c>
      <c r="C33" s="91">
        <f>MEDIAN(C21:C31)</f>
        <v>-81</v>
      </c>
      <c r="E33" s="232" t="s">
        <v>63</v>
      </c>
      <c r="F33" s="234">
        <f>F31*F32</f>
        <v>0</v>
      </c>
    </row>
    <row r="34" spans="2:6" x14ac:dyDescent="0.35">
      <c r="B34" s="14"/>
      <c r="C34" s="6"/>
      <c r="E34" s="232" t="s">
        <v>99</v>
      </c>
      <c r="F34" s="173">
        <v>500</v>
      </c>
    </row>
    <row r="35" spans="2:6" ht="15" thickBot="1" x14ac:dyDescent="0.4">
      <c r="B35" s="5"/>
      <c r="C35" s="5"/>
      <c r="E35" s="232" t="s">
        <v>98</v>
      </c>
      <c r="F35" s="235">
        <f>F33/F34</f>
        <v>0</v>
      </c>
    </row>
    <row r="36" spans="2:6" x14ac:dyDescent="0.35">
      <c r="B36" s="31" t="s">
        <v>30</v>
      </c>
      <c r="C36" s="32"/>
      <c r="E36" s="236" t="s">
        <v>90</v>
      </c>
      <c r="F36" s="237">
        <f>F35/(365.25/12)</f>
        <v>0</v>
      </c>
    </row>
    <row r="37" spans="2:6" x14ac:dyDescent="0.35">
      <c r="B37" s="34" t="s">
        <v>31</v>
      </c>
      <c r="C37" s="35" t="e">
        <f xml:space="preserve"> (1.2 * C18) + (0.23*C7) - (10.8*C5) - 5.4</f>
        <v>#DIV/0!</v>
      </c>
    </row>
    <row r="38" spans="2:6" x14ac:dyDescent="0.35">
      <c r="B38" s="34" t="s">
        <v>32</v>
      </c>
      <c r="C38" s="35" t="e">
        <f>(1.29*C18)+(0.2*C7)-(11.4*C5)-8</f>
        <v>#DIV/0!</v>
      </c>
    </row>
    <row r="39" spans="2:6" x14ac:dyDescent="0.35">
      <c r="B39" s="34" t="s">
        <v>33</v>
      </c>
      <c r="C39" s="35" t="e">
        <f>(1.46*C18)+ (0.14*C7)-(11.6*C5)-10</f>
        <v>#DIV/0!</v>
      </c>
      <c r="E39" t="s">
        <v>144</v>
      </c>
    </row>
    <row r="40" spans="2:6" x14ac:dyDescent="0.35">
      <c r="B40" s="34" t="s">
        <v>34</v>
      </c>
      <c r="C40" s="35" t="e">
        <f>(1.61*C18) + (0.13*C7)-(12.1*C5)-13.9</f>
        <v>#DIV/0!</v>
      </c>
      <c r="E40" s="200" t="s">
        <v>145</v>
      </c>
    </row>
    <row r="41" spans="2:6" x14ac:dyDescent="0.35">
      <c r="B41" s="34" t="s">
        <v>35</v>
      </c>
      <c r="C41" s="35" t="e">
        <f>(1.39*C18)+(0.16*C7)-(10.34*C5)-9</f>
        <v>#DIV/0!</v>
      </c>
    </row>
    <row r="42" spans="2:6" x14ac:dyDescent="0.35">
      <c r="B42" s="34" t="s">
        <v>36</v>
      </c>
      <c r="C42" s="35" t="e">
        <f>64-((20*C10)/C13)+(12*C6)</f>
        <v>#DIV/0!</v>
      </c>
      <c r="E42" t="s">
        <v>146</v>
      </c>
    </row>
    <row r="43" spans="2:6" ht="15" thickBot="1" x14ac:dyDescent="0.4">
      <c r="B43" s="37" t="s">
        <v>37</v>
      </c>
      <c r="C43" s="38" t="e">
        <f>(-44.988)+(0.503*C7)+(10.689*C6)+(3.172*C18)-(0.026*(C18^2))+(0.181*C18*C6)-(0.02*C18*C7)-(0.005*C18^2*C6)+(0.00021*C18^2*C7)</f>
        <v>#DIV/0!</v>
      </c>
      <c r="E43" s="200" t="s">
        <v>147</v>
      </c>
    </row>
    <row r="44" spans="2:6" x14ac:dyDescent="0.35">
      <c r="B44" s="31" t="s">
        <v>38</v>
      </c>
      <c r="C44" s="40" t="e">
        <f>AVERAGE(C37:C43)</f>
        <v>#DIV/0!</v>
      </c>
    </row>
    <row r="45" spans="2:6" ht="15" thickBot="1" x14ac:dyDescent="0.4">
      <c r="B45" s="42" t="s">
        <v>39</v>
      </c>
      <c r="C45" s="43" t="e">
        <f>MEDIAN(C37:C43)</f>
        <v>#DIV/0!</v>
      </c>
    </row>
    <row r="46" spans="2:6" ht="15" thickBot="1" x14ac:dyDescent="0.4">
      <c r="B46" s="6"/>
      <c r="C46" s="6"/>
    </row>
    <row r="47" spans="2:6" x14ac:dyDescent="0.35">
      <c r="B47" s="45" t="s">
        <v>40</v>
      </c>
      <c r="C47" s="46"/>
    </row>
    <row r="48" spans="2:6" x14ac:dyDescent="0.35">
      <c r="B48" s="48" t="s">
        <v>41</v>
      </c>
      <c r="C48" s="49">
        <f>(0.407*C8)+(0.267*C10)-19.2</f>
        <v>-19.2</v>
      </c>
    </row>
    <row r="49" spans="2:3" x14ac:dyDescent="0.35">
      <c r="B49" s="48" t="s">
        <v>42</v>
      </c>
      <c r="C49" s="49" t="e">
        <f>(1.1*C8)-(128*(C8/C10)^2)</f>
        <v>#DIV/0!</v>
      </c>
    </row>
    <row r="50" spans="2:3" ht="15" thickBot="1" x14ac:dyDescent="0.4">
      <c r="B50" s="51" t="s">
        <v>43</v>
      </c>
      <c r="C50" s="52">
        <f>(0.3281*C8) + (0.33929*C10)-29.5336</f>
        <v>-29.5336</v>
      </c>
    </row>
    <row r="51" spans="2:3" x14ac:dyDescent="0.35">
      <c r="B51" s="45" t="s">
        <v>44</v>
      </c>
      <c r="C51" s="54" t="e">
        <f>AVERAGE(C48:C50)</f>
        <v>#DIV/0!</v>
      </c>
    </row>
    <row r="52" spans="2:3" ht="15" thickBot="1" x14ac:dyDescent="0.4">
      <c r="B52" s="56" t="s">
        <v>45</v>
      </c>
      <c r="C52" s="57" t="e">
        <f>MEDIAN(C48:C50)</f>
        <v>#DIV/0!</v>
      </c>
    </row>
    <row r="53" spans="2:3" ht="15" thickBot="1" x14ac:dyDescent="0.4">
      <c r="B53" s="6"/>
      <c r="C53" s="15"/>
    </row>
    <row r="54" spans="2:3" x14ac:dyDescent="0.35">
      <c r="B54" s="59" t="s">
        <v>46</v>
      </c>
      <c r="C54" s="60"/>
    </row>
    <row r="55" spans="2:3" x14ac:dyDescent="0.35">
      <c r="B55" s="62" t="s">
        <v>47</v>
      </c>
      <c r="C55" s="63" t="e">
        <f>(0.988*C18) + (0.242*C8)+(0.094*C5)-30.18</f>
        <v>#DIV/0!</v>
      </c>
    </row>
    <row r="56" spans="2:3" ht="15" thickBot="1" x14ac:dyDescent="0.4">
      <c r="B56" s="65" t="s">
        <v>48</v>
      </c>
      <c r="C56" s="66" t="e">
        <f>C8-C52</f>
        <v>#DIV/0!</v>
      </c>
    </row>
    <row r="57" spans="2:3" ht="15" thickBot="1" x14ac:dyDescent="0.4">
      <c r="B57" s="13"/>
      <c r="C57" s="16"/>
    </row>
    <row r="58" spans="2:3" ht="15" thickBot="1" x14ac:dyDescent="0.4">
      <c r="B58" s="68" t="s">
        <v>49</v>
      </c>
      <c r="C58" s="69" t="e">
        <f>C51/C11^2</f>
        <v>#DIV/0!</v>
      </c>
    </row>
    <row r="59" spans="2:3" ht="15" thickBot="1" x14ac:dyDescent="0.4">
      <c r="B59" s="13"/>
      <c r="C59" s="13"/>
    </row>
    <row r="60" spans="2:3" ht="15" thickBot="1" x14ac:dyDescent="0.4">
      <c r="B60" s="71" t="s">
        <v>50</v>
      </c>
      <c r="C60" s="72" t="e">
        <f>C13/C14</f>
        <v>#DIV/0!</v>
      </c>
    </row>
    <row r="61" spans="2:3" ht="15" thickBot="1" x14ac:dyDescent="0.4">
      <c r="B61" s="71" t="s">
        <v>51</v>
      </c>
      <c r="C61" s="72" t="e">
        <f>C13/C10</f>
        <v>#DIV/0!</v>
      </c>
    </row>
    <row r="62" spans="2:3" ht="15" thickBot="1" x14ac:dyDescent="0.4">
      <c r="B62" s="13"/>
      <c r="C62" s="13"/>
    </row>
    <row r="63" spans="2:3" x14ac:dyDescent="0.35">
      <c r="B63" s="74" t="s">
        <v>52</v>
      </c>
      <c r="C63" s="75"/>
    </row>
    <row r="64" spans="2:3" x14ac:dyDescent="0.35">
      <c r="B64" s="77" t="s">
        <v>53</v>
      </c>
      <c r="C64" s="78" t="e">
        <f>259*((C8^0.48)*(C11^0.5)*(C7^-0.13))</f>
        <v>#DIV/0!</v>
      </c>
    </row>
    <row r="65" spans="2:3" x14ac:dyDescent="0.35">
      <c r="B65" s="77" t="s">
        <v>54</v>
      </c>
      <c r="C65" s="78" t="e">
        <f t="shared" ref="C65" si="12">C64*1.37</f>
        <v>#DIV/0!</v>
      </c>
    </row>
    <row r="66" spans="2:3" x14ac:dyDescent="0.35">
      <c r="B66" s="77" t="s">
        <v>55</v>
      </c>
      <c r="C66" s="78" t="e">
        <f t="shared" ref="C66" si="13">C64*1.55</f>
        <v>#DIV/0!</v>
      </c>
    </row>
    <row r="67" spans="2:3" ht="15" thickBot="1" x14ac:dyDescent="0.4">
      <c r="B67" s="80" t="s">
        <v>56</v>
      </c>
      <c r="C67" s="81" t="e">
        <f t="shared" ref="C67" si="14">C64*1.8</f>
        <v>#DIV/0!</v>
      </c>
    </row>
  </sheetData>
  <mergeCells count="1">
    <mergeCell ref="B3:C3"/>
  </mergeCells>
  <hyperlinks>
    <hyperlink ref="E43" r:id="rId1" xr:uid="{3D5CE719-91F0-477C-935D-465A3F51A656}"/>
    <hyperlink ref="E40" r:id="rId2" xr:uid="{4C76B4A7-891C-40E8-8BC3-1640C0072816}"/>
  </hyperlinks>
  <pageMargins left="0.7" right="0.7" top="0.75" bottom="0.75" header="0.3" footer="0.3"/>
  <pageSetup paperSize="9" orientation="portrait" horizontalDpi="4294967293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4576E-3DC0-4BF5-8728-3686993F7CDA}">
  <dimension ref="B2:J67"/>
  <sheetViews>
    <sheetView tabSelected="1" topLeftCell="A2" workbookViewId="0">
      <selection activeCell="H17" sqref="H17"/>
    </sheetView>
  </sheetViews>
  <sheetFormatPr defaultColWidth="11.453125" defaultRowHeight="14.5" x14ac:dyDescent="0.35"/>
  <cols>
    <col min="1" max="1" width="10.81640625" customWidth="1"/>
    <col min="2" max="2" width="31.26953125" customWidth="1"/>
    <col min="5" max="5" width="16.54296875" customWidth="1"/>
    <col min="7" max="7" width="16.7265625" bestFit="1" customWidth="1"/>
  </cols>
  <sheetData>
    <row r="2" spans="2:9" ht="15" thickBot="1" x14ac:dyDescent="0.4"/>
    <row r="3" spans="2:9" ht="21.5" thickBot="1" x14ac:dyDescent="0.55000000000000004">
      <c r="B3" s="242" t="s">
        <v>0</v>
      </c>
      <c r="C3" s="244"/>
    </row>
    <row r="4" spans="2:9" ht="16" thickBot="1" x14ac:dyDescent="0.4">
      <c r="B4" s="10" t="s">
        <v>1</v>
      </c>
      <c r="C4" s="240" t="s">
        <v>182</v>
      </c>
      <c r="D4" s="1"/>
      <c r="E4" s="163" t="s">
        <v>87</v>
      </c>
      <c r="F4" s="173"/>
      <c r="G4" s="164"/>
      <c r="H4" s="164"/>
      <c r="I4" s="165"/>
    </row>
    <row r="5" spans="2:9" x14ac:dyDescent="0.35">
      <c r="B5" s="6" t="s">
        <v>4</v>
      </c>
      <c r="C5" s="6">
        <v>0</v>
      </c>
      <c r="E5" s="147"/>
      <c r="F5" s="166" t="s">
        <v>75</v>
      </c>
      <c r="G5" s="155" t="s">
        <v>76</v>
      </c>
      <c r="H5" s="155" t="s">
        <v>88</v>
      </c>
      <c r="I5" s="156" t="s">
        <v>79</v>
      </c>
    </row>
    <row r="6" spans="2:9" x14ac:dyDescent="0.35">
      <c r="B6" s="3" t="s">
        <v>4</v>
      </c>
      <c r="C6" s="3">
        <v>1</v>
      </c>
      <c r="E6" s="167" t="s">
        <v>72</v>
      </c>
      <c r="F6" s="228">
        <v>0.4</v>
      </c>
      <c r="G6" s="140">
        <f>F6*$F$4</f>
        <v>0</v>
      </c>
      <c r="H6" s="138">
        <v>4</v>
      </c>
      <c r="I6" s="175">
        <f>G6/H6</f>
        <v>0</v>
      </c>
    </row>
    <row r="7" spans="2:9" x14ac:dyDescent="0.35">
      <c r="B7" s="3" t="s">
        <v>5</v>
      </c>
      <c r="C7" s="4"/>
      <c r="E7" s="167" t="s">
        <v>73</v>
      </c>
      <c r="F7" s="228">
        <v>0.4</v>
      </c>
      <c r="G7" s="140">
        <f>F7*$F$4</f>
        <v>0</v>
      </c>
      <c r="H7" s="138">
        <v>9</v>
      </c>
      <c r="I7" s="175">
        <f>G7/H7</f>
        <v>0</v>
      </c>
    </row>
    <row r="8" spans="2:9" x14ac:dyDescent="0.35">
      <c r="B8" s="3" t="s">
        <v>6</v>
      </c>
      <c r="C8" s="4"/>
      <c r="E8" s="167" t="s">
        <v>74</v>
      </c>
      <c r="F8" s="228">
        <v>0.2</v>
      </c>
      <c r="G8" s="140">
        <f>F8*$F$4</f>
        <v>0</v>
      </c>
      <c r="H8" s="138">
        <v>4</v>
      </c>
      <c r="I8" s="175">
        <f>G8/H8</f>
        <v>0</v>
      </c>
    </row>
    <row r="9" spans="2:9" ht="15" thickBot="1" x14ac:dyDescent="0.4">
      <c r="B9" s="3" t="s">
        <v>7</v>
      </c>
      <c r="C9" s="2">
        <f t="shared" ref="C9" si="0">C8*2.20462</f>
        <v>0</v>
      </c>
      <c r="E9" s="150"/>
      <c r="F9" s="168">
        <f>SUM(F6:F8)</f>
        <v>1</v>
      </c>
      <c r="G9" s="169">
        <f>SUM(G6:G8)</f>
        <v>0</v>
      </c>
      <c r="H9" s="170"/>
      <c r="I9" s="171"/>
    </row>
    <row r="10" spans="2:9" x14ac:dyDescent="0.35">
      <c r="B10" s="3" t="s">
        <v>8</v>
      </c>
      <c r="C10" s="4"/>
    </row>
    <row r="11" spans="2:9" x14ac:dyDescent="0.35">
      <c r="B11" s="3" t="s">
        <v>9</v>
      </c>
      <c r="C11" s="3">
        <f t="shared" ref="C11" si="1" xml:space="preserve"> C10/100</f>
        <v>0</v>
      </c>
      <c r="E11" s="203" t="s">
        <v>94</v>
      </c>
      <c r="F11" s="204"/>
      <c r="G11" s="202"/>
    </row>
    <row r="12" spans="2:9" x14ac:dyDescent="0.35">
      <c r="B12" s="3" t="s">
        <v>10</v>
      </c>
      <c r="C12" s="2">
        <f t="shared" ref="C12" si="2">C10/2.54</f>
        <v>0</v>
      </c>
      <c r="E12" s="205" t="s">
        <v>95</v>
      </c>
      <c r="F12" s="155" t="s">
        <v>85</v>
      </c>
      <c r="G12" s="206" t="s">
        <v>86</v>
      </c>
    </row>
    <row r="13" spans="2:9" x14ac:dyDescent="0.35">
      <c r="B13" s="3" t="s">
        <v>11</v>
      </c>
      <c r="C13" s="4"/>
      <c r="E13" s="173"/>
      <c r="F13" s="229">
        <v>23</v>
      </c>
      <c r="G13" s="207">
        <f>(E13^2)*F13</f>
        <v>0</v>
      </c>
    </row>
    <row r="14" spans="2:9" x14ac:dyDescent="0.35">
      <c r="B14" s="3" t="s">
        <v>12</v>
      </c>
      <c r="C14" s="4"/>
    </row>
    <row r="15" spans="2:9" x14ac:dyDescent="0.35">
      <c r="B15" s="3" t="s">
        <v>13</v>
      </c>
      <c r="C15" s="4"/>
    </row>
    <row r="16" spans="2:9" ht="15" thickBot="1" x14ac:dyDescent="0.4">
      <c r="B16" s="3" t="s">
        <v>14</v>
      </c>
      <c r="C16" s="4"/>
      <c r="I16" t="s">
        <v>59</v>
      </c>
    </row>
    <row r="17" spans="2:10" ht="15" thickBot="1" x14ac:dyDescent="0.4">
      <c r="B17" s="5"/>
      <c r="C17" s="5"/>
      <c r="E17" s="145" t="s">
        <v>92</v>
      </c>
      <c r="F17" s="146"/>
    </row>
    <row r="18" spans="2:10" ht="15" thickBot="1" x14ac:dyDescent="0.4">
      <c r="B18" s="7" t="s">
        <v>15</v>
      </c>
      <c r="C18" s="9" t="e">
        <f t="shared" ref="C18" si="3">C8/C11^2</f>
        <v>#DIV/0!</v>
      </c>
      <c r="E18" s="147" t="s">
        <v>89</v>
      </c>
      <c r="F18" s="174">
        <v>26</v>
      </c>
    </row>
    <row r="19" spans="2:10" ht="15" thickBot="1" x14ac:dyDescent="0.4">
      <c r="B19" s="13"/>
      <c r="C19" s="13"/>
      <c r="E19" s="147" t="s">
        <v>90</v>
      </c>
      <c r="F19" s="174">
        <v>4</v>
      </c>
      <c r="H19" s="177"/>
    </row>
    <row r="20" spans="2:10" x14ac:dyDescent="0.35">
      <c r="B20" s="17" t="s">
        <v>16</v>
      </c>
      <c r="C20" s="172"/>
      <c r="E20" s="147" t="s">
        <v>91</v>
      </c>
      <c r="F20" s="174">
        <v>1975</v>
      </c>
    </row>
    <row r="21" spans="2:10" x14ac:dyDescent="0.35">
      <c r="B21" s="20" t="s">
        <v>17</v>
      </c>
      <c r="C21" s="88">
        <f t="shared" ref="C21" si="4">C11^2*22</f>
        <v>0</v>
      </c>
      <c r="E21" s="148"/>
      <c r="F21" s="149"/>
    </row>
    <row r="22" spans="2:10" x14ac:dyDescent="0.35">
      <c r="B22" s="20" t="s">
        <v>18</v>
      </c>
      <c r="C22" s="88">
        <f t="shared" ref="C22" si="5">C10-100</f>
        <v>-100</v>
      </c>
      <c r="E22" s="147" t="s">
        <v>93</v>
      </c>
      <c r="F22" s="149"/>
    </row>
    <row r="23" spans="2:10" x14ac:dyDescent="0.35">
      <c r="B23" s="20" t="s">
        <v>19</v>
      </c>
      <c r="C23" s="88">
        <f>(C10-100)-((C10-150)/2.5)</f>
        <v>-40</v>
      </c>
      <c r="E23" s="147" t="s">
        <v>89</v>
      </c>
      <c r="F23" s="174">
        <v>8</v>
      </c>
    </row>
    <row r="24" spans="2:10" x14ac:dyDescent="0.35">
      <c r="B24" s="20" t="s">
        <v>20</v>
      </c>
      <c r="C24" s="88">
        <f>45.5 + (2.3 * (C12-60))</f>
        <v>-92.5</v>
      </c>
      <c r="E24" s="147" t="s">
        <v>90</v>
      </c>
      <c r="F24" s="174">
        <v>1</v>
      </c>
      <c r="H24" s="177"/>
    </row>
    <row r="25" spans="2:10" x14ac:dyDescent="0.35">
      <c r="B25" s="20" t="s">
        <v>21</v>
      </c>
      <c r="C25" s="88">
        <f t="shared" ref="C25" si="6">((C10-100) + (C7/10))*0.9</f>
        <v>-90</v>
      </c>
      <c r="E25" s="147" t="s">
        <v>91</v>
      </c>
      <c r="F25" s="174">
        <v>2024</v>
      </c>
    </row>
    <row r="26" spans="2:10" x14ac:dyDescent="0.35">
      <c r="B26" s="20" t="s">
        <v>22</v>
      </c>
      <c r="C26" s="88">
        <f t="shared" ref="C26" si="7">((C10-100)+(C7/10))*0.9</f>
        <v>-90</v>
      </c>
      <c r="E26" s="148"/>
      <c r="F26" s="149"/>
      <c r="H26" s="177"/>
    </row>
    <row r="27" spans="2:10" ht="15" thickBot="1" x14ac:dyDescent="0.4">
      <c r="B27" s="20" t="s">
        <v>23</v>
      </c>
      <c r="C27" s="88">
        <f t="shared" ref="C27" si="8">((C10-100)+(C7/10))*0.9^2</f>
        <v>-81</v>
      </c>
      <c r="E27" s="150" t="s">
        <v>84</v>
      </c>
      <c r="F27" s="176">
        <f>INT((DATE(F25,F24,F23)-DATE(F20,F19,F18))/365.25)</f>
        <v>48</v>
      </c>
    </row>
    <row r="28" spans="2:10" x14ac:dyDescent="0.35">
      <c r="B28" s="20" t="s">
        <v>24</v>
      </c>
      <c r="C28" s="88">
        <f t="shared" ref="C28" si="9">((C10-100)+(C7/10))*0.9*1.1</f>
        <v>-99.000000000000014</v>
      </c>
    </row>
    <row r="29" spans="2:10" x14ac:dyDescent="0.35">
      <c r="B29" s="20" t="s">
        <v>25</v>
      </c>
      <c r="C29" s="88">
        <f t="shared" ref="C29" si="10">((C10-100)+(4*C16))/2</f>
        <v>-50</v>
      </c>
      <c r="E29" s="230" t="s">
        <v>96</v>
      </c>
      <c r="F29" s="173"/>
    </row>
    <row r="30" spans="2:10" x14ac:dyDescent="0.35">
      <c r="B30" s="20" t="s">
        <v>26</v>
      </c>
      <c r="C30" s="88">
        <f t="shared" ref="C30" si="11">(C10*C15)/240</f>
        <v>0</v>
      </c>
      <c r="E30" s="231" t="s">
        <v>180</v>
      </c>
      <c r="F30" s="173"/>
    </row>
    <row r="31" spans="2:10" ht="15" thickBot="1" x14ac:dyDescent="0.4">
      <c r="B31" s="25" t="s">
        <v>27</v>
      </c>
      <c r="C31" s="89">
        <f>(-111.621+(3.636*C12))*0.454</f>
        <v>-50.675933999999998</v>
      </c>
      <c r="E31" s="232" t="s">
        <v>67</v>
      </c>
      <c r="F31" s="233">
        <f>F29-F30</f>
        <v>0</v>
      </c>
    </row>
    <row r="32" spans="2:10" x14ac:dyDescent="0.35">
      <c r="B32" s="17" t="s">
        <v>28</v>
      </c>
      <c r="C32" s="90">
        <f>AVERAGE(C21:C31)</f>
        <v>-63.015993999999999</v>
      </c>
      <c r="E32" s="232" t="s">
        <v>97</v>
      </c>
      <c r="F32" s="173">
        <v>7000</v>
      </c>
      <c r="J32" t="s">
        <v>59</v>
      </c>
    </row>
    <row r="33" spans="2:6" ht="15" thickBot="1" x14ac:dyDescent="0.4">
      <c r="B33" s="28" t="s">
        <v>29</v>
      </c>
      <c r="C33" s="91">
        <f>MEDIAN(C21:C31)</f>
        <v>-81</v>
      </c>
      <c r="E33" s="232" t="s">
        <v>63</v>
      </c>
      <c r="F33" s="234">
        <f>F31*F32</f>
        <v>0</v>
      </c>
    </row>
    <row r="34" spans="2:6" x14ac:dyDescent="0.35">
      <c r="B34" s="14"/>
      <c r="C34" s="6"/>
      <c r="E34" s="232" t="s">
        <v>99</v>
      </c>
      <c r="F34" s="173">
        <v>500</v>
      </c>
    </row>
    <row r="35" spans="2:6" ht="15" thickBot="1" x14ac:dyDescent="0.4">
      <c r="B35" s="5"/>
      <c r="C35" s="5"/>
      <c r="E35" s="232" t="s">
        <v>98</v>
      </c>
      <c r="F35" s="235">
        <f>F33/F34</f>
        <v>0</v>
      </c>
    </row>
    <row r="36" spans="2:6" x14ac:dyDescent="0.35">
      <c r="B36" s="31" t="s">
        <v>30</v>
      </c>
      <c r="C36" s="33"/>
      <c r="E36" s="236" t="s">
        <v>90</v>
      </c>
      <c r="F36" s="237">
        <f>F35/(365.25/12)</f>
        <v>0</v>
      </c>
    </row>
    <row r="37" spans="2:6" x14ac:dyDescent="0.35">
      <c r="B37" s="34" t="s">
        <v>31</v>
      </c>
      <c r="C37" s="36" t="e">
        <f xml:space="preserve"> (1.2 * C18) + (0.23*C7) - (10.8*C5) - 5.4</f>
        <v>#DIV/0!</v>
      </c>
    </row>
    <row r="38" spans="2:6" x14ac:dyDescent="0.35">
      <c r="B38" s="34" t="s">
        <v>32</v>
      </c>
      <c r="C38" s="36" t="e">
        <f>(1.29*C18)+(0.2*C7)-(11.4*C5)-8</f>
        <v>#DIV/0!</v>
      </c>
    </row>
    <row r="39" spans="2:6" x14ac:dyDescent="0.35">
      <c r="B39" s="34" t="s">
        <v>33</v>
      </c>
      <c r="C39" s="36" t="e">
        <f>(1.46*C18)+ (0.14*C7)-(11.6*C5)-10</f>
        <v>#DIV/0!</v>
      </c>
      <c r="E39" t="s">
        <v>144</v>
      </c>
    </row>
    <row r="40" spans="2:6" x14ac:dyDescent="0.35">
      <c r="B40" s="34" t="s">
        <v>34</v>
      </c>
      <c r="C40" s="36" t="e">
        <f>(1.61*C18) + (0.13*C7)-(12.1*C5)-13.9</f>
        <v>#DIV/0!</v>
      </c>
      <c r="E40" s="200" t="s">
        <v>145</v>
      </c>
    </row>
    <row r="41" spans="2:6" x14ac:dyDescent="0.35">
      <c r="B41" s="34" t="s">
        <v>35</v>
      </c>
      <c r="C41" s="36" t="e">
        <f>(1.39*C18)+(0.16*C7)-(10.34*C5)-9</f>
        <v>#DIV/0!</v>
      </c>
    </row>
    <row r="42" spans="2:6" x14ac:dyDescent="0.35">
      <c r="B42" s="34" t="s">
        <v>36</v>
      </c>
      <c r="C42" s="36" t="e">
        <f>64-((20*C10)/C13)+(12*C6)</f>
        <v>#DIV/0!</v>
      </c>
      <c r="E42" t="s">
        <v>146</v>
      </c>
    </row>
    <row r="43" spans="2:6" ht="15" thickBot="1" x14ac:dyDescent="0.4">
      <c r="B43" s="37" t="s">
        <v>37</v>
      </c>
      <c r="C43" s="39" t="e">
        <f>(-44.988)+(0.503*C7)+(10.689*C6)+(3.172*C18)-(0.026*(C18^2))+(0.181*C18*C6)-(0.02*C18*C7)-(0.005*C18^2*C6)+(0.00021*C18^2*C7)</f>
        <v>#DIV/0!</v>
      </c>
      <c r="E43" s="200" t="s">
        <v>147</v>
      </c>
    </row>
    <row r="44" spans="2:6" x14ac:dyDescent="0.35">
      <c r="B44" s="31" t="s">
        <v>38</v>
      </c>
      <c r="C44" s="41" t="e">
        <f>AVERAGE(C37:C43)</f>
        <v>#DIV/0!</v>
      </c>
    </row>
    <row r="45" spans="2:6" ht="15" thickBot="1" x14ac:dyDescent="0.4">
      <c r="B45" s="42" t="s">
        <v>39</v>
      </c>
      <c r="C45" s="44" t="e">
        <f>MEDIAN(C37:C43)</f>
        <v>#DIV/0!</v>
      </c>
    </row>
    <row r="46" spans="2:6" ht="15" thickBot="1" x14ac:dyDescent="0.4">
      <c r="B46" s="6"/>
      <c r="C46" s="6"/>
    </row>
    <row r="47" spans="2:6" x14ac:dyDescent="0.35">
      <c r="B47" s="45" t="s">
        <v>40</v>
      </c>
      <c r="C47" s="47"/>
    </row>
    <row r="48" spans="2:6" x14ac:dyDescent="0.35">
      <c r="B48" s="48" t="s">
        <v>41</v>
      </c>
      <c r="C48" s="50">
        <f>(0.407*C8)+(0.267*C10)-19.2</f>
        <v>-19.2</v>
      </c>
    </row>
    <row r="49" spans="2:3" x14ac:dyDescent="0.35">
      <c r="B49" s="48" t="s">
        <v>42</v>
      </c>
      <c r="C49" s="50" t="e">
        <f>(1.1*C8)-(128*(C8/C10)^2)</f>
        <v>#DIV/0!</v>
      </c>
    </row>
    <row r="50" spans="2:3" ht="15" thickBot="1" x14ac:dyDescent="0.4">
      <c r="B50" s="51" t="s">
        <v>43</v>
      </c>
      <c r="C50" s="53">
        <f>(0.3281*C8) + (0.33929*C10)-29.5336</f>
        <v>-29.5336</v>
      </c>
    </row>
    <row r="51" spans="2:3" x14ac:dyDescent="0.35">
      <c r="B51" s="45" t="s">
        <v>44</v>
      </c>
      <c r="C51" s="55" t="e">
        <f>AVERAGE(C48:C50)</f>
        <v>#DIV/0!</v>
      </c>
    </row>
    <row r="52" spans="2:3" ht="15" thickBot="1" x14ac:dyDescent="0.4">
      <c r="B52" s="56" t="s">
        <v>45</v>
      </c>
      <c r="C52" s="58" t="e">
        <f>MEDIAN(C48:C50)</f>
        <v>#DIV/0!</v>
      </c>
    </row>
    <row r="53" spans="2:3" ht="15" thickBot="1" x14ac:dyDescent="0.4">
      <c r="B53" s="6"/>
      <c r="C53" s="15"/>
    </row>
    <row r="54" spans="2:3" x14ac:dyDescent="0.35">
      <c r="B54" s="59" t="s">
        <v>46</v>
      </c>
      <c r="C54" s="61"/>
    </row>
    <row r="55" spans="2:3" x14ac:dyDescent="0.35">
      <c r="B55" s="62" t="s">
        <v>47</v>
      </c>
      <c r="C55" s="64" t="e">
        <f>(0.988*C18) + (0.344*C8)+(0.094*C5)-30.18</f>
        <v>#DIV/0!</v>
      </c>
    </row>
    <row r="56" spans="2:3" ht="15" thickBot="1" x14ac:dyDescent="0.4">
      <c r="B56" s="65" t="s">
        <v>48</v>
      </c>
      <c r="C56" s="67" t="e">
        <f>C8-C52</f>
        <v>#DIV/0!</v>
      </c>
    </row>
    <row r="57" spans="2:3" ht="15" thickBot="1" x14ac:dyDescent="0.4">
      <c r="B57" s="13"/>
      <c r="C57" s="16"/>
    </row>
    <row r="58" spans="2:3" ht="15" thickBot="1" x14ac:dyDescent="0.4">
      <c r="B58" s="68" t="s">
        <v>49</v>
      </c>
      <c r="C58" s="70" t="e">
        <f>C51/C11^2</f>
        <v>#DIV/0!</v>
      </c>
    </row>
    <row r="59" spans="2:3" ht="15" thickBot="1" x14ac:dyDescent="0.4">
      <c r="B59" s="13"/>
      <c r="C59" s="13"/>
    </row>
    <row r="60" spans="2:3" ht="15" thickBot="1" x14ac:dyDescent="0.4">
      <c r="B60" s="71" t="s">
        <v>50</v>
      </c>
      <c r="C60" s="73" t="e">
        <f>C13/C14</f>
        <v>#DIV/0!</v>
      </c>
    </row>
    <row r="61" spans="2:3" ht="15" thickBot="1" x14ac:dyDescent="0.4">
      <c r="B61" s="71" t="s">
        <v>51</v>
      </c>
      <c r="C61" s="73" t="e">
        <f>C13/C10</f>
        <v>#DIV/0!</v>
      </c>
    </row>
    <row r="62" spans="2:3" ht="15" thickBot="1" x14ac:dyDescent="0.4">
      <c r="B62" s="13"/>
      <c r="C62" s="13"/>
    </row>
    <row r="63" spans="2:3" x14ac:dyDescent="0.35">
      <c r="B63" s="74" t="s">
        <v>52</v>
      </c>
      <c r="C63" s="76"/>
    </row>
    <row r="64" spans="2:3" x14ac:dyDescent="0.35">
      <c r="B64" s="77" t="s">
        <v>53</v>
      </c>
      <c r="C64" s="79" t="e">
        <f>230*((C8^0.48)*(C11^0.5)*(C7^-0.13))</f>
        <v>#DIV/0!</v>
      </c>
    </row>
    <row r="65" spans="2:3" x14ac:dyDescent="0.35">
      <c r="B65" s="77" t="s">
        <v>54</v>
      </c>
      <c r="C65" s="79" t="e">
        <f t="shared" ref="C65" si="12">C64*1.37</f>
        <v>#DIV/0!</v>
      </c>
    </row>
    <row r="66" spans="2:3" x14ac:dyDescent="0.35">
      <c r="B66" s="77" t="s">
        <v>55</v>
      </c>
      <c r="C66" s="79" t="e">
        <f t="shared" ref="C66" si="13">C64*1.55</f>
        <v>#DIV/0!</v>
      </c>
    </row>
    <row r="67" spans="2:3" ht="15" thickBot="1" x14ac:dyDescent="0.4">
      <c r="B67" s="80" t="s">
        <v>56</v>
      </c>
      <c r="C67" s="82" t="e">
        <f t="shared" ref="C67" si="14">C64*1.8</f>
        <v>#DIV/0!</v>
      </c>
    </row>
  </sheetData>
  <mergeCells count="1">
    <mergeCell ref="B3:C3"/>
  </mergeCells>
  <hyperlinks>
    <hyperlink ref="E43" r:id="rId1" xr:uid="{6A376AA7-2961-478A-9AA3-92A15E62EEF6}"/>
    <hyperlink ref="E40" r:id="rId2" xr:uid="{DAA34318-A4F8-4AE2-9294-BD30D4A1A3A6}"/>
  </hyperlinks>
  <pageMargins left="0.7" right="0.7" top="0.75" bottom="0.75" header="0.3" footer="0.3"/>
  <pageSetup paperSize="9" orientation="portrait" horizontalDpi="4294967293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03DA-BAE8-45EB-8604-4B2E253AC574}">
  <dimension ref="A1:G17"/>
  <sheetViews>
    <sheetView workbookViewId="0">
      <selection activeCell="E16" sqref="E16"/>
    </sheetView>
  </sheetViews>
  <sheetFormatPr defaultRowHeight="14.5" x14ac:dyDescent="0.35"/>
  <cols>
    <col min="1" max="1" width="51.7265625" style="131" bestFit="1" customWidth="1"/>
    <col min="2" max="2" width="5.36328125" style="131" customWidth="1"/>
    <col min="3" max="3" width="17.81640625" style="131" bestFit="1" customWidth="1"/>
    <col min="4" max="4" width="16.08984375" style="131" bestFit="1" customWidth="1"/>
    <col min="5" max="5" width="19.1796875" style="131" bestFit="1" customWidth="1"/>
    <col min="6" max="6" width="24.81640625" style="131" bestFit="1" customWidth="1"/>
    <col min="7" max="7" width="1.26953125" style="131" bestFit="1" customWidth="1"/>
    <col min="8" max="16384" width="8.7265625" style="131"/>
  </cols>
  <sheetData>
    <row r="1" spans="1:6" x14ac:dyDescent="0.35">
      <c r="A1" s="208" t="s">
        <v>148</v>
      </c>
    </row>
    <row r="2" spans="1:6" x14ac:dyDescent="0.35">
      <c r="A2" t="s">
        <v>131</v>
      </c>
      <c r="C2" s="4"/>
      <c r="D2" s="131" t="s">
        <v>117</v>
      </c>
    </row>
    <row r="3" spans="1:6" x14ac:dyDescent="0.35">
      <c r="A3" t="s">
        <v>125</v>
      </c>
    </row>
    <row r="4" spans="1:6" x14ac:dyDescent="0.35">
      <c r="A4" t="s">
        <v>126</v>
      </c>
      <c r="C4" s="184" t="s">
        <v>139</v>
      </c>
    </row>
    <row r="5" spans="1:6" ht="18.5" x14ac:dyDescent="0.45">
      <c r="A5" t="s">
        <v>127</v>
      </c>
      <c r="C5" s="196" t="s">
        <v>123</v>
      </c>
      <c r="D5" s="196" t="s">
        <v>124</v>
      </c>
      <c r="E5" s="196" t="s">
        <v>134</v>
      </c>
      <c r="F5" s="196" t="s">
        <v>137</v>
      </c>
    </row>
    <row r="6" spans="1:6" ht="18.5" x14ac:dyDescent="0.45">
      <c r="A6" t="s">
        <v>128</v>
      </c>
      <c r="C6" s="239">
        <v>1</v>
      </c>
      <c r="D6" s="239">
        <v>70</v>
      </c>
      <c r="E6" s="194">
        <f>IF(C6=1,1.2,1.5)</f>
        <v>1.2</v>
      </c>
      <c r="F6" s="194">
        <f>E6*D6</f>
        <v>84</v>
      </c>
    </row>
    <row r="7" spans="1:6" ht="18.5" x14ac:dyDescent="0.45">
      <c r="A7" t="s">
        <v>129</v>
      </c>
      <c r="C7" s="194" t="s">
        <v>59</v>
      </c>
      <c r="D7" s="194" t="s">
        <v>59</v>
      </c>
      <c r="E7" s="194" t="s">
        <v>59</v>
      </c>
      <c r="F7" s="194" t="s">
        <v>59</v>
      </c>
    </row>
    <row r="8" spans="1:6" x14ac:dyDescent="0.35">
      <c r="A8" t="s">
        <v>130</v>
      </c>
      <c r="C8" s="131" t="s">
        <v>138</v>
      </c>
    </row>
    <row r="9" spans="1:6" ht="18.5" x14ac:dyDescent="0.45">
      <c r="A9" s="193" t="s">
        <v>118</v>
      </c>
      <c r="C9" s="196" t="s">
        <v>132</v>
      </c>
      <c r="D9" s="196" t="s">
        <v>133</v>
      </c>
      <c r="E9" s="196" t="s">
        <v>135</v>
      </c>
      <c r="F9" s="196" t="s">
        <v>136</v>
      </c>
    </row>
    <row r="10" spans="1:6" ht="18.5" x14ac:dyDescent="0.45">
      <c r="A10" s="193" t="s">
        <v>119</v>
      </c>
      <c r="C10" s="239">
        <v>100</v>
      </c>
      <c r="D10" s="239">
        <v>12</v>
      </c>
      <c r="E10" s="195">
        <f>D10/C10</f>
        <v>0.12</v>
      </c>
      <c r="F10" s="197">
        <f>F6/E10</f>
        <v>700</v>
      </c>
    </row>
    <row r="11" spans="1:6" x14ac:dyDescent="0.35">
      <c r="A11" s="193" t="s">
        <v>120</v>
      </c>
    </row>
    <row r="12" spans="1:6" x14ac:dyDescent="0.35">
      <c r="A12" s="193" t="s">
        <v>121</v>
      </c>
    </row>
    <row r="13" spans="1:6" x14ac:dyDescent="0.35">
      <c r="A13" s="193" t="s">
        <v>122</v>
      </c>
    </row>
    <row r="14" spans="1:6" x14ac:dyDescent="0.35">
      <c r="A14" s="198" t="s">
        <v>140</v>
      </c>
    </row>
    <row r="15" spans="1:6" ht="18.5" x14ac:dyDescent="0.45">
      <c r="A15" s="198" t="s">
        <v>141</v>
      </c>
      <c r="B15" s="196"/>
    </row>
    <row r="16" spans="1:6" ht="18.5" x14ac:dyDescent="0.45">
      <c r="A16" s="198" t="s">
        <v>142</v>
      </c>
      <c r="B16" s="194"/>
    </row>
    <row r="17" spans="2:7" ht="18.5" x14ac:dyDescent="0.45">
      <c r="B17" s="194"/>
      <c r="C17" s="194" t="s">
        <v>59</v>
      </c>
      <c r="D17" s="194" t="s">
        <v>59</v>
      </c>
      <c r="E17" s="195" t="s">
        <v>59</v>
      </c>
      <c r="F17" s="194" t="s">
        <v>59</v>
      </c>
      <c r="G17" s="131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B5F06-F060-4A0F-9F96-3CE17002AC3F}">
  <sheetPr codeName="Sheet2"/>
  <dimension ref="A1:M17"/>
  <sheetViews>
    <sheetView workbookViewId="0">
      <selection activeCell="D2" sqref="D2"/>
    </sheetView>
  </sheetViews>
  <sheetFormatPr defaultColWidth="12.453125" defaultRowHeight="15.5" x14ac:dyDescent="0.35"/>
  <cols>
    <col min="1" max="1" width="5.36328125" style="210" bestFit="1" customWidth="1"/>
    <col min="2" max="2" width="20.81640625" style="210" customWidth="1"/>
    <col min="3" max="3" width="4.6328125" style="210" customWidth="1"/>
    <col min="4" max="4" width="16.36328125" style="210" bestFit="1" customWidth="1"/>
    <col min="5" max="5" width="14.54296875" style="210" bestFit="1" customWidth="1"/>
    <col min="6" max="6" width="16.36328125" style="210" bestFit="1" customWidth="1"/>
    <col min="7" max="7" width="8.7265625" style="210" customWidth="1"/>
    <col min="8" max="8" width="6.26953125" style="210" bestFit="1" customWidth="1"/>
    <col min="9" max="9" width="16.36328125" style="210" bestFit="1" customWidth="1"/>
    <col min="10" max="10" width="10.81640625" style="210" bestFit="1" customWidth="1"/>
    <col min="11" max="11" width="5.08984375" style="210" customWidth="1"/>
    <col min="12" max="12" width="9.90625" style="210" bestFit="1" customWidth="1"/>
    <col min="13" max="13" width="14.54296875" style="210" bestFit="1" customWidth="1"/>
    <col min="14" max="16384" width="12.453125" style="210"/>
  </cols>
  <sheetData>
    <row r="1" spans="1:13" s="209" customFormat="1" x14ac:dyDescent="0.35">
      <c r="A1" s="209" t="s">
        <v>165</v>
      </c>
      <c r="B1" s="213" t="s">
        <v>159</v>
      </c>
      <c r="D1" s="209" t="s">
        <v>166</v>
      </c>
      <c r="E1" s="209" t="s">
        <v>158</v>
      </c>
      <c r="F1" s="209" t="s">
        <v>166</v>
      </c>
      <c r="H1" s="209" t="s">
        <v>113</v>
      </c>
      <c r="I1" s="209" t="s">
        <v>166</v>
      </c>
      <c r="J1" s="209" t="s">
        <v>167</v>
      </c>
      <c r="L1" s="209" t="s">
        <v>171</v>
      </c>
      <c r="M1" s="209" t="s">
        <v>158</v>
      </c>
    </row>
    <row r="2" spans="1:13" x14ac:dyDescent="0.35">
      <c r="B2" s="222" t="s">
        <v>160</v>
      </c>
      <c r="C2" s="213"/>
      <c r="E2" s="209"/>
      <c r="F2" s="209"/>
      <c r="G2" s="209"/>
      <c r="H2" s="209"/>
    </row>
    <row r="3" spans="1:13" x14ac:dyDescent="0.35">
      <c r="D3" s="209"/>
      <c r="E3" s="209"/>
      <c r="F3" s="209"/>
      <c r="G3" s="209"/>
      <c r="H3" s="209"/>
    </row>
    <row r="5" spans="1:13" x14ac:dyDescent="0.35">
      <c r="B5" s="211" t="s">
        <v>155</v>
      </c>
      <c r="C5" s="211"/>
      <c r="D5" s="211" t="s">
        <v>151</v>
      </c>
      <c r="E5" s="211" t="s">
        <v>156</v>
      </c>
      <c r="F5" s="211" t="s">
        <v>157</v>
      </c>
      <c r="H5" s="211" t="s">
        <v>150</v>
      </c>
      <c r="I5" s="211" t="s">
        <v>157</v>
      </c>
      <c r="J5" s="211" t="s">
        <v>152</v>
      </c>
    </row>
    <row r="6" spans="1:13" x14ac:dyDescent="0.35">
      <c r="A6" s="210">
        <v>1</v>
      </c>
      <c r="B6" s="212" t="s">
        <v>154</v>
      </c>
      <c r="C6" s="225"/>
      <c r="D6" s="212">
        <v>75</v>
      </c>
      <c r="E6" s="212">
        <v>19.7</v>
      </c>
      <c r="F6" s="227">
        <f t="shared" ref="F6:F11" si="0">(E6*D6)/100</f>
        <v>14.775</v>
      </c>
      <c r="H6" s="212">
        <v>35</v>
      </c>
      <c r="I6" s="224">
        <v>14.8</v>
      </c>
      <c r="J6" s="214">
        <f>(H6*I6)/100</f>
        <v>5.18</v>
      </c>
    </row>
    <row r="7" spans="1:13" ht="16" thickBot="1" x14ac:dyDescent="0.4">
      <c r="A7" s="210">
        <v>2</v>
      </c>
      <c r="B7" s="212"/>
      <c r="C7" s="225"/>
      <c r="D7" s="212"/>
      <c r="E7" s="212"/>
      <c r="F7" s="227">
        <f t="shared" si="0"/>
        <v>0</v>
      </c>
      <c r="H7" s="212"/>
      <c r="I7" s="224"/>
      <c r="J7" s="214">
        <f t="shared" ref="J7:J11" si="1">(H7*I7)/100</f>
        <v>0</v>
      </c>
      <c r="L7" s="210" t="s">
        <v>161</v>
      </c>
    </row>
    <row r="8" spans="1:13" x14ac:dyDescent="0.35">
      <c r="A8" s="210">
        <v>3</v>
      </c>
      <c r="B8" s="212"/>
      <c r="C8" s="225"/>
      <c r="D8" s="212"/>
      <c r="E8" s="212"/>
      <c r="F8" s="227">
        <f t="shared" si="0"/>
        <v>0</v>
      </c>
      <c r="H8" s="212"/>
      <c r="I8" s="224"/>
      <c r="J8" s="214">
        <f t="shared" si="1"/>
        <v>0</v>
      </c>
      <c r="L8" s="216" t="s">
        <v>168</v>
      </c>
      <c r="M8" s="217" t="s">
        <v>163</v>
      </c>
    </row>
    <row r="9" spans="1:13" x14ac:dyDescent="0.35">
      <c r="A9" s="210">
        <v>4</v>
      </c>
      <c r="B9" s="212"/>
      <c r="C9" s="225"/>
      <c r="D9" s="212"/>
      <c r="E9" s="212"/>
      <c r="F9" s="227">
        <f t="shared" si="0"/>
        <v>0</v>
      </c>
      <c r="H9" s="212"/>
      <c r="I9" s="224"/>
      <c r="J9" s="214">
        <f t="shared" si="1"/>
        <v>0</v>
      </c>
      <c r="L9" s="218" t="s">
        <v>169</v>
      </c>
      <c r="M9" s="219" t="s">
        <v>162</v>
      </c>
    </row>
    <row r="10" spans="1:13" ht="16" thickBot="1" x14ac:dyDescent="0.4">
      <c r="A10" s="210">
        <v>5</v>
      </c>
      <c r="B10" s="212"/>
      <c r="C10" s="225"/>
      <c r="D10" s="212"/>
      <c r="E10" s="212"/>
      <c r="F10" s="227">
        <f t="shared" si="0"/>
        <v>0</v>
      </c>
      <c r="H10" s="212"/>
      <c r="I10" s="224"/>
      <c r="J10" s="214">
        <f t="shared" si="1"/>
        <v>0</v>
      </c>
      <c r="L10" s="220" t="s">
        <v>170</v>
      </c>
      <c r="M10" s="221" t="s">
        <v>164</v>
      </c>
    </row>
    <row r="11" spans="1:13" x14ac:dyDescent="0.35">
      <c r="A11" s="210">
        <v>6</v>
      </c>
      <c r="B11" s="212"/>
      <c r="C11" s="225"/>
      <c r="D11" s="212"/>
      <c r="E11" s="212"/>
      <c r="F11" s="227">
        <f t="shared" si="0"/>
        <v>0</v>
      </c>
      <c r="H11" s="212"/>
      <c r="I11" s="224"/>
      <c r="J11" s="214">
        <f t="shared" si="1"/>
        <v>0</v>
      </c>
    </row>
    <row r="12" spans="1:13" ht="18.5" x14ac:dyDescent="0.45">
      <c r="I12" s="1" t="s">
        <v>153</v>
      </c>
      <c r="J12" s="215">
        <f>SUM(J6:J11)</f>
        <v>5.18</v>
      </c>
    </row>
    <row r="13" spans="1:13" x14ac:dyDescent="0.35">
      <c r="D13" s="226" t="s">
        <v>175</v>
      </c>
    </row>
    <row r="14" spans="1:13" x14ac:dyDescent="0.35">
      <c r="D14" s="226" t="s">
        <v>176</v>
      </c>
      <c r="H14" s="226" t="s">
        <v>172</v>
      </c>
    </row>
    <row r="15" spans="1:13" x14ac:dyDescent="0.35">
      <c r="C15" s="223"/>
      <c r="D15" s="226" t="s">
        <v>177</v>
      </c>
      <c r="H15" s="226" t="s">
        <v>179</v>
      </c>
    </row>
    <row r="16" spans="1:13" x14ac:dyDescent="0.35">
      <c r="B16" s="226" t="s">
        <v>59</v>
      </c>
      <c r="D16" s="226" t="s">
        <v>178</v>
      </c>
      <c r="H16" s="226" t="s">
        <v>173</v>
      </c>
    </row>
    <row r="17" spans="8:8" x14ac:dyDescent="0.35">
      <c r="H17" s="226" t="s">
        <v>174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5F66-B3E0-417C-B6FA-91AAD075DFDA}">
  <dimension ref="B1:F9"/>
  <sheetViews>
    <sheetView workbookViewId="0">
      <selection activeCell="G5" sqref="G5"/>
    </sheetView>
  </sheetViews>
  <sheetFormatPr defaultRowHeight="23.5" x14ac:dyDescent="0.55000000000000004"/>
  <cols>
    <col min="1" max="1" width="8.7265625" style="185"/>
    <col min="2" max="2" width="14" style="185" bestFit="1" customWidth="1"/>
    <col min="3" max="6" width="9.90625" style="185" bestFit="1" customWidth="1"/>
    <col min="7" max="16384" width="8.7265625" style="185"/>
  </cols>
  <sheetData>
    <row r="1" spans="2:6" x14ac:dyDescent="0.55000000000000004">
      <c r="C1" s="4"/>
      <c r="D1" s="191" t="s">
        <v>117</v>
      </c>
    </row>
    <row r="2" spans="2:6" x14ac:dyDescent="0.55000000000000004">
      <c r="C2" s="190" t="s">
        <v>113</v>
      </c>
      <c r="D2" s="190" t="s">
        <v>113</v>
      </c>
      <c r="E2" s="190" t="s">
        <v>113</v>
      </c>
      <c r="F2" s="190" t="s">
        <v>113</v>
      </c>
    </row>
    <row r="3" spans="2:6" x14ac:dyDescent="0.55000000000000004">
      <c r="C3" s="186" t="s">
        <v>79</v>
      </c>
      <c r="D3" s="185" t="s">
        <v>78</v>
      </c>
      <c r="E3" s="185" t="s">
        <v>114</v>
      </c>
      <c r="F3" s="185" t="s">
        <v>116</v>
      </c>
    </row>
    <row r="4" spans="2:6" x14ac:dyDescent="0.55000000000000004">
      <c r="B4" s="185" t="s">
        <v>72</v>
      </c>
      <c r="C4" s="238">
        <v>6</v>
      </c>
      <c r="D4" s="188">
        <v>4</v>
      </c>
      <c r="E4" s="188">
        <f>C4*D4</f>
        <v>24</v>
      </c>
      <c r="F4" s="189">
        <f>E4/$E$7</f>
        <v>4.5112781954887216E-2</v>
      </c>
    </row>
    <row r="5" spans="2:6" x14ac:dyDescent="0.55000000000000004">
      <c r="B5" s="185" t="s">
        <v>112</v>
      </c>
      <c r="C5" s="238">
        <v>32</v>
      </c>
      <c r="D5" s="188">
        <v>9</v>
      </c>
      <c r="E5" s="188">
        <f>C5*D5</f>
        <v>288</v>
      </c>
      <c r="F5" s="189">
        <f>E5/$E$7</f>
        <v>0.54135338345864659</v>
      </c>
    </row>
    <row r="6" spans="2:6" x14ac:dyDescent="0.55000000000000004">
      <c r="B6" s="185" t="s">
        <v>74</v>
      </c>
      <c r="C6" s="238">
        <v>55</v>
      </c>
      <c r="D6" s="188">
        <v>4</v>
      </c>
      <c r="E6" s="188">
        <f>C6*D6</f>
        <v>220</v>
      </c>
      <c r="F6" s="189">
        <f>E6/$E$7</f>
        <v>0.41353383458646614</v>
      </c>
    </row>
    <row r="7" spans="2:6" ht="26" x14ac:dyDescent="0.6">
      <c r="B7" s="185" t="s">
        <v>115</v>
      </c>
      <c r="E7" s="192">
        <f>SUM(E4:E6)</f>
        <v>532</v>
      </c>
      <c r="F7" s="187">
        <f>SUM(F4:F6)</f>
        <v>1</v>
      </c>
    </row>
    <row r="9" spans="2:6" x14ac:dyDescent="0.55000000000000004">
      <c r="B9" s="185" t="s">
        <v>59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67"/>
  <sheetViews>
    <sheetView workbookViewId="0">
      <selection activeCell="I57" sqref="I57"/>
    </sheetView>
  </sheetViews>
  <sheetFormatPr defaultColWidth="11.453125" defaultRowHeight="14.5" x14ac:dyDescent="0.35"/>
  <cols>
    <col min="1" max="1" width="10.81640625" customWidth="1"/>
    <col min="2" max="2" width="31.26953125" customWidth="1"/>
    <col min="3" max="3" width="17.54296875" customWidth="1"/>
  </cols>
  <sheetData>
    <row r="2" spans="2:6" ht="15" thickBot="1" x14ac:dyDescent="0.4"/>
    <row r="3" spans="2:6" ht="21.5" thickBot="1" x14ac:dyDescent="0.55000000000000004">
      <c r="B3" s="242" t="s">
        <v>0</v>
      </c>
      <c r="C3" s="243"/>
      <c r="D3" s="244"/>
      <c r="F3" s="131" t="s">
        <v>110</v>
      </c>
    </row>
    <row r="4" spans="2:6" ht="16" thickBot="1" x14ac:dyDescent="0.4">
      <c r="B4" s="10" t="s">
        <v>1</v>
      </c>
      <c r="C4" s="11" t="s">
        <v>3</v>
      </c>
      <c r="D4" s="84" t="s">
        <v>57</v>
      </c>
      <c r="F4" s="84" t="s">
        <v>57</v>
      </c>
    </row>
    <row r="5" spans="2:6" x14ac:dyDescent="0.35">
      <c r="B5" s="6" t="s">
        <v>4</v>
      </c>
      <c r="C5" s="6">
        <v>0</v>
      </c>
      <c r="D5" s="6">
        <v>0</v>
      </c>
      <c r="F5" s="6">
        <v>0</v>
      </c>
    </row>
    <row r="6" spans="2:6" x14ac:dyDescent="0.35">
      <c r="B6" s="3" t="s">
        <v>4</v>
      </c>
      <c r="C6" s="3">
        <v>1</v>
      </c>
      <c r="D6" s="3">
        <v>1</v>
      </c>
      <c r="F6" s="3">
        <v>1</v>
      </c>
    </row>
    <row r="7" spans="2:6" x14ac:dyDescent="0.35">
      <c r="B7" s="3" t="s">
        <v>5</v>
      </c>
      <c r="C7" s="3">
        <v>30</v>
      </c>
      <c r="D7" s="4">
        <v>49</v>
      </c>
      <c r="F7" s="4">
        <v>49</v>
      </c>
    </row>
    <row r="8" spans="2:6" x14ac:dyDescent="0.35">
      <c r="B8" s="3" t="s">
        <v>6</v>
      </c>
      <c r="C8" s="3">
        <v>63</v>
      </c>
      <c r="D8" s="4">
        <v>89.4</v>
      </c>
      <c r="F8" s="83">
        <v>59.6</v>
      </c>
    </row>
    <row r="9" spans="2:6" x14ac:dyDescent="0.35">
      <c r="B9" s="3" t="s">
        <v>7</v>
      </c>
      <c r="C9" s="2">
        <f t="shared" ref="C9:D9" si="0">C8*2.20462</f>
        <v>138.89105999999998</v>
      </c>
      <c r="D9" s="2">
        <f t="shared" si="0"/>
        <v>197.093028</v>
      </c>
      <c r="F9" s="2">
        <f t="shared" ref="F9" si="1">F8*2.20462</f>
        <v>131.395352</v>
      </c>
    </row>
    <row r="10" spans="2:6" x14ac:dyDescent="0.35">
      <c r="B10" s="3" t="s">
        <v>8</v>
      </c>
      <c r="C10" s="3">
        <v>165</v>
      </c>
      <c r="D10" s="4">
        <v>166</v>
      </c>
      <c r="F10" s="4">
        <v>166</v>
      </c>
    </row>
    <row r="11" spans="2:6" x14ac:dyDescent="0.35">
      <c r="B11" s="3" t="s">
        <v>9</v>
      </c>
      <c r="C11" s="3">
        <f t="shared" ref="C11:D11" si="2" xml:space="preserve"> C10/100</f>
        <v>1.65</v>
      </c>
      <c r="D11" s="3">
        <f t="shared" si="2"/>
        <v>1.66</v>
      </c>
      <c r="F11" s="3">
        <f t="shared" ref="F11" si="3" xml:space="preserve"> F10/100</f>
        <v>1.66</v>
      </c>
    </row>
    <row r="12" spans="2:6" x14ac:dyDescent="0.35">
      <c r="B12" s="3" t="s">
        <v>10</v>
      </c>
      <c r="C12" s="2">
        <f t="shared" ref="C12:D12" si="4">C10/2.54</f>
        <v>64.960629921259837</v>
      </c>
      <c r="D12" s="2">
        <f t="shared" si="4"/>
        <v>65.354330708661422</v>
      </c>
      <c r="F12" s="2">
        <f t="shared" ref="F12" si="5">F10/2.54</f>
        <v>65.354330708661422</v>
      </c>
    </row>
    <row r="13" spans="2:6" x14ac:dyDescent="0.35">
      <c r="B13" s="3" t="s">
        <v>11</v>
      </c>
      <c r="C13" s="3">
        <v>75</v>
      </c>
      <c r="D13" s="4">
        <v>98</v>
      </c>
      <c r="F13" s="4">
        <v>98</v>
      </c>
    </row>
    <row r="14" spans="2:6" x14ac:dyDescent="0.35">
      <c r="B14" s="3" t="s">
        <v>12</v>
      </c>
      <c r="C14" s="3">
        <v>100</v>
      </c>
      <c r="D14" s="4"/>
      <c r="F14" s="4"/>
    </row>
    <row r="15" spans="2:6" x14ac:dyDescent="0.35">
      <c r="B15" s="3" t="s">
        <v>13</v>
      </c>
      <c r="C15" s="3">
        <v>93</v>
      </c>
      <c r="D15" s="4"/>
      <c r="F15" s="4"/>
    </row>
    <row r="16" spans="2:6" x14ac:dyDescent="0.35">
      <c r="B16" s="3" t="s">
        <v>14</v>
      </c>
      <c r="C16" s="3">
        <v>16</v>
      </c>
      <c r="D16" s="4"/>
      <c r="F16" s="4"/>
    </row>
    <row r="17" spans="2:6" ht="15" thickBot="1" x14ac:dyDescent="0.4">
      <c r="B17" s="5"/>
      <c r="C17" s="5"/>
      <c r="D17" s="5"/>
      <c r="F17" s="5"/>
    </row>
    <row r="18" spans="2:6" ht="15" thickBot="1" x14ac:dyDescent="0.4">
      <c r="B18" s="7" t="s">
        <v>15</v>
      </c>
      <c r="C18" s="8">
        <f t="shared" ref="C18:D18" si="6">C8/C11^2</f>
        <v>23.140495867768596</v>
      </c>
      <c r="D18" s="85">
        <f t="shared" si="6"/>
        <v>32.443025112498191</v>
      </c>
      <c r="F18" s="85">
        <f t="shared" ref="F18" si="7">F8/F11^2</f>
        <v>21.628683408332126</v>
      </c>
    </row>
    <row r="19" spans="2:6" ht="15" thickBot="1" x14ac:dyDescent="0.4">
      <c r="B19" s="13"/>
      <c r="C19" s="13"/>
      <c r="D19" s="13"/>
      <c r="F19" s="13"/>
    </row>
    <row r="20" spans="2:6" x14ac:dyDescent="0.35">
      <c r="B20" s="17" t="s">
        <v>16</v>
      </c>
      <c r="C20" s="18"/>
      <c r="D20" s="19"/>
      <c r="F20" s="19"/>
    </row>
    <row r="21" spans="2:6" x14ac:dyDescent="0.35">
      <c r="B21" s="20" t="s">
        <v>17</v>
      </c>
      <c r="C21" s="21">
        <f t="shared" ref="C21:D21" si="8">C11^2*22</f>
        <v>59.894999999999996</v>
      </c>
      <c r="D21" s="88">
        <f t="shared" si="8"/>
        <v>60.623199999999997</v>
      </c>
      <c r="F21" s="22">
        <f t="shared" ref="F21" si="9">F11^2*22</f>
        <v>60.623199999999997</v>
      </c>
    </row>
    <row r="22" spans="2:6" x14ac:dyDescent="0.35">
      <c r="B22" s="20" t="s">
        <v>18</v>
      </c>
      <c r="C22" s="23">
        <f t="shared" ref="C22:D22" si="10">C10-100</f>
        <v>65</v>
      </c>
      <c r="D22" s="88">
        <f t="shared" si="10"/>
        <v>66</v>
      </c>
      <c r="F22" s="24">
        <f t="shared" ref="F22" si="11">F10-100</f>
        <v>66</v>
      </c>
    </row>
    <row r="23" spans="2:6" x14ac:dyDescent="0.35">
      <c r="B23" s="20" t="s">
        <v>19</v>
      </c>
      <c r="C23" s="23">
        <f>(C10-100)-((C10-150)/2.5)</f>
        <v>59</v>
      </c>
      <c r="D23" s="92">
        <f>(D10-100)-((D10-150)/2.5)</f>
        <v>59.6</v>
      </c>
      <c r="F23" s="87">
        <f>(F10-100)-((F10-150)/2.5)</f>
        <v>59.6</v>
      </c>
    </row>
    <row r="24" spans="2:6" x14ac:dyDescent="0.35">
      <c r="B24" s="20" t="s">
        <v>20</v>
      </c>
      <c r="C24" s="21">
        <f>45.5 + (2.3 * (C12-60))</f>
        <v>56.909448818897623</v>
      </c>
      <c r="D24" s="88">
        <f>45.5 + (2.3 * (D12-60))</f>
        <v>57.814960629921273</v>
      </c>
      <c r="F24" s="22">
        <f>45.5 + (2.3 * (F12-60))</f>
        <v>57.814960629921273</v>
      </c>
    </row>
    <row r="25" spans="2:6" x14ac:dyDescent="0.35">
      <c r="B25" s="20" t="s">
        <v>21</v>
      </c>
      <c r="C25" s="23">
        <f t="shared" ref="C25:D25" si="12">((C10-100) + (C7/10))*0.9</f>
        <v>61.2</v>
      </c>
      <c r="D25" s="88">
        <f t="shared" si="12"/>
        <v>63.810000000000009</v>
      </c>
      <c r="F25" s="24">
        <f t="shared" ref="F25" si="13">((F10-100) + (F7/10))*0.9</f>
        <v>63.810000000000009</v>
      </c>
    </row>
    <row r="26" spans="2:6" x14ac:dyDescent="0.35">
      <c r="B26" s="20" t="s">
        <v>22</v>
      </c>
      <c r="C26" s="23">
        <f t="shared" ref="C26" si="14">((C10-100)+(C7/10))*0.9</f>
        <v>61.2</v>
      </c>
      <c r="D26" s="88"/>
      <c r="F26" s="24"/>
    </row>
    <row r="27" spans="2:6" x14ac:dyDescent="0.35">
      <c r="B27" s="20" t="s">
        <v>23</v>
      </c>
      <c r="C27" s="23">
        <f t="shared" ref="C27" si="15">((C10-100)+(C7/10))*0.9^2</f>
        <v>55.080000000000005</v>
      </c>
      <c r="D27" s="88"/>
      <c r="F27" s="24"/>
    </row>
    <row r="28" spans="2:6" x14ac:dyDescent="0.35">
      <c r="B28" s="20" t="s">
        <v>24</v>
      </c>
      <c r="C28" s="23">
        <f t="shared" ref="C28:D28" si="16">((C10-100)+(C7/10))*0.9*1.1</f>
        <v>67.320000000000007</v>
      </c>
      <c r="D28" s="88">
        <f t="shared" si="16"/>
        <v>70.191000000000017</v>
      </c>
      <c r="F28" s="24">
        <f t="shared" ref="F28" si="17">((F10-100)+(F7/10))*0.9*1.1</f>
        <v>70.191000000000017</v>
      </c>
    </row>
    <row r="29" spans="2:6" x14ac:dyDescent="0.35">
      <c r="B29" s="20" t="s">
        <v>25</v>
      </c>
      <c r="C29" s="23">
        <f t="shared" ref="C29" si="18">((C10-100)+(4*C16))/2</f>
        <v>64.5</v>
      </c>
      <c r="D29" s="88"/>
      <c r="F29" s="24"/>
    </row>
    <row r="30" spans="2:6" x14ac:dyDescent="0.35">
      <c r="B30" s="20" t="s">
        <v>26</v>
      </c>
      <c r="C30" s="23">
        <f t="shared" ref="C30" si="19">(C10*C15)/240</f>
        <v>63.9375</v>
      </c>
      <c r="D30" s="88"/>
      <c r="F30" s="24"/>
    </row>
    <row r="31" spans="2:6" ht="15" thickBot="1" x14ac:dyDescent="0.4">
      <c r="B31" s="25" t="s">
        <v>27</v>
      </c>
      <c r="C31" s="26">
        <f>(-111.621+(3.636*C12))*0.454</f>
        <v>56.557436078740153</v>
      </c>
      <c r="D31" s="89">
        <f>(-111.621+(3.636*D12))*0.454</f>
        <v>57.207335291338602</v>
      </c>
      <c r="F31" s="27">
        <f>(-111.621+(3.636*F12))*0.454</f>
        <v>57.207335291338602</v>
      </c>
    </row>
    <row r="32" spans="2:6" x14ac:dyDescent="0.35">
      <c r="B32" s="17" t="s">
        <v>28</v>
      </c>
      <c r="C32" s="29">
        <f>AVERAGE(C21:C31)</f>
        <v>60.963580445239792</v>
      </c>
      <c r="D32" s="90">
        <f>AVERAGE(D21:D31)</f>
        <v>62.178070845894275</v>
      </c>
      <c r="F32" s="29">
        <f>AVERAGE(F21:F31)</f>
        <v>62.178070845894275</v>
      </c>
    </row>
    <row r="33" spans="2:6" ht="15" thickBot="1" x14ac:dyDescent="0.4">
      <c r="B33" s="28" t="s">
        <v>29</v>
      </c>
      <c r="C33" s="30">
        <f>MEDIAN(C21:C31)</f>
        <v>61.2</v>
      </c>
      <c r="D33" s="91">
        <f>MEDIAN(D21:D31)</f>
        <v>60.623199999999997</v>
      </c>
      <c r="F33" s="30">
        <f>MEDIAN(F21:F31)</f>
        <v>60.623199999999997</v>
      </c>
    </row>
    <row r="34" spans="2:6" x14ac:dyDescent="0.35">
      <c r="B34" s="14"/>
      <c r="C34" s="6"/>
      <c r="D34" s="6"/>
      <c r="F34" s="6"/>
    </row>
    <row r="35" spans="2:6" ht="15" thickBot="1" x14ac:dyDescent="0.4">
      <c r="B35" s="5"/>
      <c r="C35" s="5"/>
      <c r="D35" s="5"/>
      <c r="F35" s="5"/>
    </row>
    <row r="36" spans="2:6" x14ac:dyDescent="0.35">
      <c r="B36" s="31" t="s">
        <v>30</v>
      </c>
      <c r="C36" s="32"/>
      <c r="D36" s="33"/>
      <c r="F36" s="33"/>
    </row>
    <row r="37" spans="2:6" x14ac:dyDescent="0.35">
      <c r="B37" s="34" t="s">
        <v>31</v>
      </c>
      <c r="C37" s="35">
        <f xml:space="preserve"> (1.2 * C18) + (0.23*C7) - (10.8*C5) - 5.4</f>
        <v>29.268595041322314</v>
      </c>
      <c r="D37" s="36">
        <f xml:space="preserve"> (1.2 * D18) + (0.23*D7) - (10.8*D5) - 5.4</f>
        <v>44.801630134997829</v>
      </c>
      <c r="F37" s="36">
        <f xml:space="preserve"> (1.2 * F18) + (0.23*F7) - (10.8*F5) - 5.4</f>
        <v>31.824420089998554</v>
      </c>
    </row>
    <row r="38" spans="2:6" x14ac:dyDescent="0.35">
      <c r="B38" s="34" t="s">
        <v>32</v>
      </c>
      <c r="C38" s="35">
        <f>(1.29*C18)+(0.2*C7)-(11.4*C5)-8</f>
        <v>27.851239669421489</v>
      </c>
      <c r="D38" s="36">
        <f>(1.29*D18)+(0.2*D7)-(11.4*D5)-8</f>
        <v>43.651502395122662</v>
      </c>
      <c r="F38" s="36">
        <f>(1.29*F18)+(0.2*F7)-(11.4*F5)-8</f>
        <v>29.701001596748441</v>
      </c>
    </row>
    <row r="39" spans="2:6" x14ac:dyDescent="0.35">
      <c r="B39" s="34" t="s">
        <v>33</v>
      </c>
      <c r="C39" s="35">
        <f>(1.46*C18)+ (0.14*C7)-(11.6*C5)-10</f>
        <v>27.985123966942155</v>
      </c>
      <c r="D39" s="36">
        <f>(1.46*D18)+ (0.14*D7)-(11.6*D5)-10</f>
        <v>44.226816664247359</v>
      </c>
      <c r="F39" s="36">
        <f>(1.46*F18)+ (0.14*F7)-(11.6*F5)-10</f>
        <v>28.437877776164903</v>
      </c>
    </row>
    <row r="40" spans="2:6" x14ac:dyDescent="0.35">
      <c r="B40" s="34" t="s">
        <v>34</v>
      </c>
      <c r="C40" s="35">
        <f>(1.61*C18) + (0.13*C7)-(12.1*C5)-13.9</f>
        <v>27.256198347107443</v>
      </c>
      <c r="D40" s="36">
        <f>(1.61*D18) + (0.13*D7)-(12.1*D5)-13.9</f>
        <v>44.703270431122093</v>
      </c>
      <c r="F40" s="36">
        <f>(1.61*F18) + (0.13*F7)-(12.1*F5)-13.9</f>
        <v>27.292180287414723</v>
      </c>
    </row>
    <row r="41" spans="2:6" x14ac:dyDescent="0.35">
      <c r="B41" s="34" t="s">
        <v>35</v>
      </c>
      <c r="C41" s="35">
        <f>(1.39*C18)+(0.16*C7)-(10.34*C5)-9</f>
        <v>27.965289256198346</v>
      </c>
      <c r="D41" s="36">
        <f>(1.39*D18)+(0.16*D7)-(10.34*D5)-9</f>
        <v>43.935804906372482</v>
      </c>
      <c r="F41" s="36">
        <f>(1.39*F18)+(0.16*F7)-(10.34*F5)-9</f>
        <v>28.903869937581653</v>
      </c>
    </row>
    <row r="42" spans="2:6" x14ac:dyDescent="0.35">
      <c r="B42" s="34" t="s">
        <v>36</v>
      </c>
      <c r="C42" s="35">
        <f>64-((20*C10)/C13)+(12*C6)</f>
        <v>32</v>
      </c>
      <c r="D42" s="36">
        <f>64-((20*D10)/D13)+(12*D6)</f>
        <v>42.122448979591837</v>
      </c>
      <c r="F42" s="36">
        <f>64-((20*F10)/F13)+(12*F6)</f>
        <v>42.122448979591837</v>
      </c>
    </row>
    <row r="43" spans="2:6" ht="15" thickBot="1" x14ac:dyDescent="0.4">
      <c r="B43" s="37" t="s">
        <v>37</v>
      </c>
      <c r="C43" s="38">
        <f>(-44.988)+(0.503*C7)+(10.689*C6)+(3.172*C18)-(0.026*(C18^2))+(0.181*C18*C6)-(0.02*C18*C7)-(0.005*C18^2*C6)+(0.00021*C18^2*C7)</f>
        <v>31.270366163513412</v>
      </c>
      <c r="D43" s="39">
        <f>(-44.988)+(0.503*D7)+(10.689*D6)+(3.172*D18)-(0.026*(D18^2))+(0.181*D18*D6)-(0.02*D18*D7)-(0.005*D18^2*D6)+(0.00021*D18^2*D7)</f>
        <v>45.536990609254801</v>
      </c>
      <c r="F43" s="39">
        <f>(-44.988)+(0.503*F7)+(10.689*F6)+(3.172*F18)-(0.026*(F18^2))+(0.181*F18*F6)-(0.02*F18*F7)-(0.005*F18^2*F6)+(0.00021*F18^2*F7)</f>
        <v>31.984728846770629</v>
      </c>
    </row>
    <row r="44" spans="2:6" x14ac:dyDescent="0.35">
      <c r="B44" s="31" t="s">
        <v>38</v>
      </c>
      <c r="C44" s="40">
        <f>AVERAGE(C37:C43)</f>
        <v>29.085258920643593</v>
      </c>
      <c r="D44" s="41">
        <f>AVERAGE(D37:D43)</f>
        <v>44.139780588672728</v>
      </c>
      <c r="F44" s="41">
        <f>AVERAGE(F37:F43)</f>
        <v>31.466646787752961</v>
      </c>
    </row>
    <row r="45" spans="2:6" ht="15" thickBot="1" x14ac:dyDescent="0.4">
      <c r="B45" s="42" t="s">
        <v>39</v>
      </c>
      <c r="C45" s="43">
        <f>MEDIAN(C37:C43)</f>
        <v>27.985123966942155</v>
      </c>
      <c r="D45" s="44">
        <f>MEDIAN(D37:D43)</f>
        <v>44.226816664247359</v>
      </c>
      <c r="F45" s="44">
        <f>MEDIAN(F37:F43)</f>
        <v>29.701001596748441</v>
      </c>
    </row>
    <row r="46" spans="2:6" ht="15" thickBot="1" x14ac:dyDescent="0.4">
      <c r="B46" s="6"/>
      <c r="C46" s="6"/>
      <c r="D46" s="6"/>
      <c r="F46" s="6"/>
    </row>
    <row r="47" spans="2:6" x14ac:dyDescent="0.35">
      <c r="B47" s="45" t="s">
        <v>40</v>
      </c>
      <c r="C47" s="46"/>
      <c r="D47" s="47"/>
      <c r="F47" s="47"/>
    </row>
    <row r="48" spans="2:6" x14ac:dyDescent="0.35">
      <c r="B48" s="48" t="s">
        <v>41</v>
      </c>
      <c r="C48" s="49">
        <f>(0.252*C8)+(0.473*C10)-48.3</f>
        <v>45.621000000000009</v>
      </c>
      <c r="D48" s="50">
        <f>(0.407*D8)+(0.267*D10)-19.2</f>
        <v>61.507800000000003</v>
      </c>
      <c r="F48" s="50">
        <f>(0.407*F8)+(0.267*F10)-19.2</f>
        <v>49.379199999999997</v>
      </c>
    </row>
    <row r="49" spans="2:6" x14ac:dyDescent="0.35">
      <c r="B49" s="48" t="s">
        <v>42</v>
      </c>
      <c r="C49" s="49">
        <f>(1.07*C8)-(148*(C8/C10)^2)</f>
        <v>45.833801652892575</v>
      </c>
      <c r="D49" s="50">
        <f>(1.1*D8)-(128*(D8/D10)^2)</f>
        <v>61.214797503266084</v>
      </c>
      <c r="F49" s="50">
        <f>(1.1*F8)-(128*(F8/F10)^2)</f>
        <v>49.059910001451584</v>
      </c>
    </row>
    <row r="50" spans="2:6" ht="15" thickBot="1" x14ac:dyDescent="0.4">
      <c r="B50" s="51" t="s">
        <v>43</v>
      </c>
      <c r="C50" s="52">
        <f>(0.29569*C8) + (0.41813*C10)-43.2933</f>
        <v>44.326620000000005</v>
      </c>
      <c r="D50" s="53">
        <f>(0.3281*D8) + (0.33929*D10)-29.5336</f>
        <v>56.12068</v>
      </c>
      <c r="F50" s="53">
        <f>(0.3281*F8) + (0.33929*F10)-29.5336</f>
        <v>46.343300000000006</v>
      </c>
    </row>
    <row r="51" spans="2:6" x14ac:dyDescent="0.35">
      <c r="B51" s="45" t="s">
        <v>44</v>
      </c>
      <c r="C51" s="54">
        <f>AVERAGE(C48:C50)</f>
        <v>45.260473884297532</v>
      </c>
      <c r="D51" s="55">
        <f>AVERAGE(D48:D50)</f>
        <v>59.614425834422029</v>
      </c>
      <c r="F51" s="55">
        <f>AVERAGE(F48:F50)</f>
        <v>48.260803333817194</v>
      </c>
    </row>
    <row r="52" spans="2:6" ht="15" thickBot="1" x14ac:dyDescent="0.4">
      <c r="B52" s="56" t="s">
        <v>45</v>
      </c>
      <c r="C52" s="57">
        <f>MEDIAN(C48:C50)</f>
        <v>45.621000000000009</v>
      </c>
      <c r="D52" s="58">
        <f>MEDIAN(D48:D50)</f>
        <v>61.214797503266084</v>
      </c>
      <c r="F52" s="58">
        <f>MEDIAN(F48:F50)</f>
        <v>49.059910001451584</v>
      </c>
    </row>
    <row r="53" spans="2:6" ht="15" thickBot="1" x14ac:dyDescent="0.4">
      <c r="B53" s="6"/>
      <c r="C53" s="15"/>
      <c r="D53" s="15"/>
      <c r="F53" s="15"/>
    </row>
    <row r="54" spans="2:6" x14ac:dyDescent="0.35">
      <c r="B54" s="59" t="s">
        <v>46</v>
      </c>
      <c r="C54" s="60"/>
      <c r="D54" s="61"/>
      <c r="F54" s="61"/>
    </row>
    <row r="55" spans="2:6" x14ac:dyDescent="0.35">
      <c r="B55" s="62" t="s">
        <v>47</v>
      </c>
      <c r="C55" s="63">
        <f>(0.988*C18) + (0.344*C8)+(0.094*C7)-30.18</f>
        <v>17.174809917355375</v>
      </c>
      <c r="D55" s="64">
        <f>(0.988*D18) + (0.344*D8)+(0.094*D5)-30.18</f>
        <v>32.627308811148211</v>
      </c>
      <c r="F55" s="64">
        <f>(0.988*F18) + (0.344*F8)+(0.094*F5)-30.18</f>
        <v>11.691539207432136</v>
      </c>
    </row>
    <row r="56" spans="2:6" ht="15" thickBot="1" x14ac:dyDescent="0.4">
      <c r="B56" s="65" t="s">
        <v>48</v>
      </c>
      <c r="C56" s="66">
        <f>C8-C52</f>
        <v>17.378999999999991</v>
      </c>
      <c r="D56" s="67">
        <f>D8-D52</f>
        <v>28.185202496733922</v>
      </c>
      <c r="F56" s="67">
        <f>F8-F52</f>
        <v>10.540089998548417</v>
      </c>
    </row>
    <row r="57" spans="2:6" ht="15" thickBot="1" x14ac:dyDescent="0.4">
      <c r="B57" s="13"/>
      <c r="C57" s="16"/>
      <c r="D57" s="16"/>
      <c r="F57" s="16"/>
    </row>
    <row r="58" spans="2:6" ht="15" thickBot="1" x14ac:dyDescent="0.4">
      <c r="B58" s="68" t="s">
        <v>49</v>
      </c>
      <c r="C58" s="69">
        <f>C51/C11^2</f>
        <v>16.624600141156119</v>
      </c>
      <c r="D58" s="70">
        <f>D51/D11^2</f>
        <v>21.633918505741775</v>
      </c>
      <c r="F58" s="70">
        <f>F51/F11^2</f>
        <v>17.513718730518651</v>
      </c>
    </row>
    <row r="59" spans="2:6" ht="15" thickBot="1" x14ac:dyDescent="0.4">
      <c r="B59" s="13"/>
      <c r="C59" s="13"/>
      <c r="D59" s="13"/>
      <c r="F59" s="13"/>
    </row>
    <row r="60" spans="2:6" ht="15" thickBot="1" x14ac:dyDescent="0.4">
      <c r="B60" s="71" t="s">
        <v>50</v>
      </c>
      <c r="C60" s="72">
        <f>C13/C14</f>
        <v>0.75</v>
      </c>
      <c r="D60" s="73" t="e">
        <f>D13/D14</f>
        <v>#DIV/0!</v>
      </c>
      <c r="F60" s="73" t="e">
        <f>F13/F14</f>
        <v>#DIV/0!</v>
      </c>
    </row>
    <row r="61" spans="2:6" ht="15" thickBot="1" x14ac:dyDescent="0.4">
      <c r="B61" s="71" t="s">
        <v>51</v>
      </c>
      <c r="C61" s="72">
        <f>C13/C10</f>
        <v>0.45454545454545453</v>
      </c>
      <c r="D61" s="178">
        <f>D13/D10</f>
        <v>0.59036144578313254</v>
      </c>
      <c r="F61" s="86">
        <f>F13/F10</f>
        <v>0.59036144578313254</v>
      </c>
    </row>
    <row r="62" spans="2:6" ht="15" thickBot="1" x14ac:dyDescent="0.4">
      <c r="B62" s="13"/>
      <c r="C62" s="13"/>
      <c r="D62" s="13"/>
      <c r="F62" s="13"/>
    </row>
    <row r="63" spans="2:6" x14ac:dyDescent="0.35">
      <c r="B63" s="94" t="s">
        <v>52</v>
      </c>
      <c r="C63" s="95"/>
      <c r="D63" s="96"/>
      <c r="F63" s="103"/>
    </row>
    <row r="64" spans="2:6" x14ac:dyDescent="0.35">
      <c r="B64" s="97" t="s">
        <v>53</v>
      </c>
      <c r="C64" s="93">
        <f>230*((C8^0.48)*(C11^0.5)*(C7^-0.13))</f>
        <v>1387.1630398038285</v>
      </c>
      <c r="D64" s="98">
        <f>230*((D8^0.48)*(D11^0.5)*(D7^-0.13))</f>
        <v>1544.1816904125151</v>
      </c>
      <c r="F64" s="104">
        <f>230*((F8^0.48)*(F11^0.5)*(F7^-0.13))</f>
        <v>1271.0850018795879</v>
      </c>
    </row>
    <row r="65" spans="2:6" x14ac:dyDescent="0.35">
      <c r="B65" s="97" t="s">
        <v>54</v>
      </c>
      <c r="C65" s="93">
        <f t="shared" ref="C65:D65" si="20">C64*1.37</f>
        <v>1900.4133645312452</v>
      </c>
      <c r="D65" s="99">
        <f t="shared" si="20"/>
        <v>2115.5289158651458</v>
      </c>
      <c r="F65" s="105">
        <f t="shared" ref="F65" si="21">F64*1.37</f>
        <v>1741.3864525750357</v>
      </c>
    </row>
    <row r="66" spans="2:6" x14ac:dyDescent="0.35">
      <c r="B66" s="97" t="s">
        <v>55</v>
      </c>
      <c r="C66" s="93">
        <f t="shared" ref="C66:D66" si="22">C64*1.55</f>
        <v>2150.1027116959344</v>
      </c>
      <c r="D66" s="98">
        <f t="shared" si="22"/>
        <v>2393.4816201393983</v>
      </c>
      <c r="F66" s="104">
        <f t="shared" ref="F66" si="23">F64*1.55</f>
        <v>1970.1817529133614</v>
      </c>
    </row>
    <row r="67" spans="2:6" ht="15" thickBot="1" x14ac:dyDescent="0.4">
      <c r="B67" s="100" t="s">
        <v>56</v>
      </c>
      <c r="C67" s="101">
        <f t="shared" ref="C67:D67" si="24">C64*1.8</f>
        <v>2496.8934716468912</v>
      </c>
      <c r="D67" s="102">
        <f t="shared" si="24"/>
        <v>2779.5270427425271</v>
      </c>
      <c r="F67" s="106">
        <f t="shared" ref="F67" si="25">F64*1.8</f>
        <v>2287.9530033832584</v>
      </c>
    </row>
  </sheetData>
  <mergeCells count="1">
    <mergeCell ref="B3:D3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8"/>
  <sheetViews>
    <sheetView topLeftCell="A8" workbookViewId="0">
      <selection activeCell="C8" sqref="C8"/>
    </sheetView>
  </sheetViews>
  <sheetFormatPr defaultColWidth="11.453125" defaultRowHeight="14.5" x14ac:dyDescent="0.35"/>
  <cols>
    <col min="1" max="1" width="3.453125" customWidth="1"/>
    <col min="2" max="2" width="31.26953125" customWidth="1"/>
    <col min="3" max="3" width="13.26953125" customWidth="1"/>
    <col min="4" max="4" width="1.81640625" customWidth="1"/>
    <col min="5" max="5" width="15.453125" style="111" bestFit="1" customWidth="1"/>
    <col min="6" max="6" width="11.453125" style="112"/>
    <col min="7" max="7" width="12.7265625" bestFit="1" customWidth="1"/>
  </cols>
  <sheetData>
    <row r="1" spans="2:8" ht="27.75" customHeight="1" x14ac:dyDescent="0.35"/>
    <row r="2" spans="2:8" ht="10.5" customHeight="1" thickBot="1" x14ac:dyDescent="0.4"/>
    <row r="3" spans="2:8" ht="21.5" thickBot="1" x14ac:dyDescent="0.55000000000000004">
      <c r="B3" s="242" t="s">
        <v>0</v>
      </c>
      <c r="C3" s="244"/>
    </row>
    <row r="4" spans="2:8" ht="16" thickBot="1" x14ac:dyDescent="0.4">
      <c r="B4" s="10" t="s">
        <v>1</v>
      </c>
      <c r="C4" s="84" t="s">
        <v>58</v>
      </c>
      <c r="D4" s="1"/>
    </row>
    <row r="5" spans="2:8" x14ac:dyDescent="0.35">
      <c r="B5" s="6" t="s">
        <v>4</v>
      </c>
      <c r="C5" s="6">
        <v>0</v>
      </c>
    </row>
    <row r="6" spans="2:8" x14ac:dyDescent="0.35">
      <c r="B6" s="3" t="s">
        <v>4</v>
      </c>
      <c r="C6" s="3">
        <v>1</v>
      </c>
    </row>
    <row r="7" spans="2:8" x14ac:dyDescent="0.35">
      <c r="B7" s="3" t="s">
        <v>5</v>
      </c>
      <c r="C7" s="4">
        <v>30</v>
      </c>
      <c r="E7" s="111" t="s">
        <v>61</v>
      </c>
      <c r="F7" s="113">
        <f>C8</f>
        <v>75</v>
      </c>
      <c r="H7" s="113">
        <f>F7</f>
        <v>75</v>
      </c>
    </row>
    <row r="8" spans="2:8" x14ac:dyDescent="0.35">
      <c r="B8" s="3" t="s">
        <v>6</v>
      </c>
      <c r="C8" s="4">
        <v>75</v>
      </c>
      <c r="E8" s="111" t="s">
        <v>60</v>
      </c>
      <c r="F8" s="113">
        <f>C23</f>
        <v>56</v>
      </c>
      <c r="G8" s="111" t="s">
        <v>68</v>
      </c>
      <c r="H8" s="113">
        <v>50</v>
      </c>
    </row>
    <row r="9" spans="2:8" x14ac:dyDescent="0.35">
      <c r="B9" s="3" t="s">
        <v>7</v>
      </c>
      <c r="C9" s="2">
        <f t="shared" ref="C9" si="0">C8*2.20462</f>
        <v>165.34649999999999</v>
      </c>
      <c r="E9" s="111" t="s">
        <v>67</v>
      </c>
      <c r="F9" s="113">
        <f>F7-F8</f>
        <v>19</v>
      </c>
      <c r="H9" s="113">
        <f>H7-H8</f>
        <v>25</v>
      </c>
    </row>
    <row r="10" spans="2:8" x14ac:dyDescent="0.35">
      <c r="B10" s="3" t="s">
        <v>8</v>
      </c>
      <c r="C10" s="4">
        <v>160</v>
      </c>
      <c r="E10" s="111" t="s">
        <v>62</v>
      </c>
      <c r="F10" s="114">
        <v>7000</v>
      </c>
      <c r="H10" s="114">
        <v>7000</v>
      </c>
    </row>
    <row r="11" spans="2:8" x14ac:dyDescent="0.35">
      <c r="B11" s="3" t="s">
        <v>9</v>
      </c>
      <c r="C11" s="3">
        <f t="shared" ref="C11" si="1" xml:space="preserve"> C10/100</f>
        <v>1.6</v>
      </c>
      <c r="E11" s="111" t="s">
        <v>63</v>
      </c>
      <c r="F11" s="114">
        <f>F9*F10</f>
        <v>133000</v>
      </c>
      <c r="H11" s="114">
        <f>H9*H10</f>
        <v>175000</v>
      </c>
    </row>
    <row r="12" spans="2:8" x14ac:dyDescent="0.35">
      <c r="B12" s="3" t="s">
        <v>10</v>
      </c>
      <c r="C12" s="2">
        <f t="shared" ref="C12" si="2">C10/2.54</f>
        <v>62.99212598425197</v>
      </c>
      <c r="E12" s="111" t="s">
        <v>64</v>
      </c>
      <c r="F12" s="114">
        <v>500</v>
      </c>
      <c r="H12" s="114">
        <v>500</v>
      </c>
    </row>
    <row r="13" spans="2:8" x14ac:dyDescent="0.35">
      <c r="B13" s="3" t="s">
        <v>11</v>
      </c>
      <c r="C13" s="4">
        <v>92</v>
      </c>
      <c r="E13" s="111" t="s">
        <v>65</v>
      </c>
      <c r="F13" s="115">
        <f>F11/F12</f>
        <v>266</v>
      </c>
      <c r="H13" s="115">
        <f>H11/H12</f>
        <v>350</v>
      </c>
    </row>
    <row r="14" spans="2:8" x14ac:dyDescent="0.35">
      <c r="B14" s="3" t="s">
        <v>12</v>
      </c>
      <c r="C14" s="4"/>
      <c r="E14" s="111" t="s">
        <v>66</v>
      </c>
      <c r="F14" s="116">
        <f>F13/(365.25/12)</f>
        <v>8.7392197125256672</v>
      </c>
      <c r="H14" s="116">
        <f>H13/(365.25/12)</f>
        <v>11.498973305954825</v>
      </c>
    </row>
    <row r="15" spans="2:8" x14ac:dyDescent="0.35">
      <c r="B15" s="3" t="s">
        <v>13</v>
      </c>
      <c r="C15" s="4"/>
      <c r="G15" s="107" t="s">
        <v>59</v>
      </c>
    </row>
    <row r="16" spans="2:8" x14ac:dyDescent="0.35">
      <c r="B16" s="3" t="s">
        <v>14</v>
      </c>
      <c r="C16" s="4"/>
    </row>
    <row r="17" spans="2:9" ht="15" thickBot="1" x14ac:dyDescent="0.4">
      <c r="B17" s="5"/>
      <c r="C17" s="5"/>
      <c r="H17">
        <v>75</v>
      </c>
    </row>
    <row r="18" spans="2:9" ht="15" thickBot="1" x14ac:dyDescent="0.4">
      <c r="B18" s="7" t="s">
        <v>15</v>
      </c>
      <c r="C18" s="179">
        <f>C8/(C11^2)</f>
        <v>29.296874999999993</v>
      </c>
      <c r="H18">
        <v>1.6</v>
      </c>
    </row>
    <row r="19" spans="2:9" ht="15" thickBot="1" x14ac:dyDescent="0.4">
      <c r="B19" s="13"/>
      <c r="C19" s="13"/>
      <c r="H19" s="180">
        <f>C11*C11</f>
        <v>2.5600000000000005</v>
      </c>
    </row>
    <row r="20" spans="2:9" x14ac:dyDescent="0.35">
      <c r="B20" s="17" t="s">
        <v>16</v>
      </c>
      <c r="C20" s="19"/>
      <c r="H20">
        <f>C8/H19</f>
        <v>29.296874999999993</v>
      </c>
    </row>
    <row r="21" spans="2:9" x14ac:dyDescent="0.35">
      <c r="B21" s="20" t="s">
        <v>103</v>
      </c>
      <c r="C21" s="182">
        <f>C11^2*23</f>
        <v>58.88000000000001</v>
      </c>
    </row>
    <row r="22" spans="2:9" x14ac:dyDescent="0.35">
      <c r="B22" s="20" t="s">
        <v>18</v>
      </c>
      <c r="C22" s="88">
        <f t="shared" ref="C22" si="3">C10-100</f>
        <v>60</v>
      </c>
      <c r="G22" t="s">
        <v>100</v>
      </c>
      <c r="H22">
        <v>22.999999999999993</v>
      </c>
      <c r="I22">
        <v>22</v>
      </c>
    </row>
    <row r="23" spans="2:9" x14ac:dyDescent="0.35">
      <c r="B23" s="20" t="s">
        <v>19</v>
      </c>
      <c r="C23" s="92">
        <f>(C10-100)-((C10-150)/2.5)</f>
        <v>56</v>
      </c>
      <c r="G23" t="s">
        <v>102</v>
      </c>
      <c r="H23">
        <v>2.5600000000000005</v>
      </c>
      <c r="I23">
        <v>2.5600000000000005</v>
      </c>
    </row>
    <row r="24" spans="2:9" x14ac:dyDescent="0.35">
      <c r="B24" s="20" t="s">
        <v>20</v>
      </c>
      <c r="C24" s="88">
        <f>45.5 + (2.3 * (C12-60))</f>
        <v>52.381889763779533</v>
      </c>
      <c r="G24" t="s">
        <v>101</v>
      </c>
      <c r="H24" s="181">
        <f>H22*H23</f>
        <v>58.879999999999995</v>
      </c>
      <c r="I24" s="181">
        <f>I22*I23</f>
        <v>56.320000000000007</v>
      </c>
    </row>
    <row r="25" spans="2:9" x14ac:dyDescent="0.35">
      <c r="B25" s="20" t="s">
        <v>21</v>
      </c>
      <c r="C25" s="88">
        <f t="shared" ref="C25" si="4">((C10-100) + (C7/10))*0.9</f>
        <v>56.7</v>
      </c>
    </row>
    <row r="26" spans="2:9" x14ac:dyDescent="0.35">
      <c r="B26" s="20" t="s">
        <v>22</v>
      </c>
      <c r="C26" s="88">
        <f t="shared" ref="C26" si="5">((C10-100)+(C7/10))*0.9</f>
        <v>56.7</v>
      </c>
    </row>
    <row r="27" spans="2:9" x14ac:dyDescent="0.35">
      <c r="B27" s="20" t="s">
        <v>23</v>
      </c>
      <c r="C27" s="88">
        <f t="shared" ref="C27" si="6">((C10-100)+(C7/10))*0.9^2</f>
        <v>51.03</v>
      </c>
    </row>
    <row r="28" spans="2:9" x14ac:dyDescent="0.35">
      <c r="B28" s="20" t="s">
        <v>24</v>
      </c>
      <c r="C28" s="88">
        <f t="shared" ref="C28" si="7">((C10-100)+(C7/10))*0.9*1.1</f>
        <v>62.370000000000012</v>
      </c>
    </row>
    <row r="29" spans="2:9" x14ac:dyDescent="0.35">
      <c r="B29" s="20" t="s">
        <v>25</v>
      </c>
      <c r="C29" s="88"/>
    </row>
    <row r="30" spans="2:9" x14ac:dyDescent="0.35">
      <c r="B30" s="20" t="s">
        <v>26</v>
      </c>
      <c r="C30" s="88"/>
    </row>
    <row r="31" spans="2:9" ht="15" thickBot="1" x14ac:dyDescent="0.4">
      <c r="B31" s="25" t="s">
        <v>27</v>
      </c>
      <c r="C31" s="89">
        <f>(-111.621+(3.636*C12))*0.454</f>
        <v>53.307940015748045</v>
      </c>
    </row>
    <row r="32" spans="2:9" x14ac:dyDescent="0.35">
      <c r="B32" s="17" t="s">
        <v>28</v>
      </c>
      <c r="C32" s="109">
        <f>AVERAGE(C21:C31)</f>
        <v>56.37442553105862</v>
      </c>
    </row>
    <row r="33" spans="2:3" ht="15" thickBot="1" x14ac:dyDescent="0.4">
      <c r="B33" s="28" t="s">
        <v>29</v>
      </c>
      <c r="C33" s="110">
        <f>MEDIAN(C21:C31)</f>
        <v>56.7</v>
      </c>
    </row>
    <row r="34" spans="2:3" x14ac:dyDescent="0.35">
      <c r="B34" s="14"/>
      <c r="C34" s="6"/>
    </row>
    <row r="35" spans="2:3" ht="15" thickBot="1" x14ac:dyDescent="0.4">
      <c r="B35" s="5"/>
      <c r="C35" s="5"/>
    </row>
    <row r="36" spans="2:3" x14ac:dyDescent="0.35">
      <c r="B36" s="31" t="s">
        <v>30</v>
      </c>
      <c r="C36" s="33"/>
    </row>
    <row r="37" spans="2:3" x14ac:dyDescent="0.35">
      <c r="B37" s="34" t="s">
        <v>31</v>
      </c>
      <c r="C37" s="36">
        <f xml:space="preserve"> (1.2 * C18) + (0.23*C7) - (10.8*C5) - 5.4</f>
        <v>36.656249999999993</v>
      </c>
    </row>
    <row r="38" spans="2:3" x14ac:dyDescent="0.35">
      <c r="B38" s="34" t="s">
        <v>32</v>
      </c>
      <c r="C38" s="36">
        <f>(1.29*C18)+(0.2*C7)-(11.4*C5)-8</f>
        <v>35.792968749999993</v>
      </c>
    </row>
    <row r="39" spans="2:3" x14ac:dyDescent="0.35">
      <c r="B39" s="34" t="s">
        <v>33</v>
      </c>
      <c r="C39" s="36">
        <f>(1.46*C18)+ (0.14*C7)-(11.6*C5)-10</f>
        <v>36.973437499999989</v>
      </c>
    </row>
    <row r="40" spans="2:3" x14ac:dyDescent="0.35">
      <c r="B40" s="34" t="s">
        <v>34</v>
      </c>
      <c r="C40" s="36">
        <f>(1.61*C18) + (0.13*C7)-(12.1*C5)-13.9</f>
        <v>37.167968749999993</v>
      </c>
    </row>
    <row r="41" spans="2:3" x14ac:dyDescent="0.35">
      <c r="B41" s="34" t="s">
        <v>35</v>
      </c>
      <c r="C41" s="36">
        <f>(1.39*C18)+(0.16*C7)-(10.34*C5)-9</f>
        <v>36.522656249999983</v>
      </c>
    </row>
    <row r="42" spans="2:3" x14ac:dyDescent="0.35">
      <c r="B42" s="34" t="s">
        <v>36</v>
      </c>
      <c r="C42" s="36">
        <f>64-((20*C10)/C13)+(12*C6)</f>
        <v>41.217391304347828</v>
      </c>
    </row>
    <row r="43" spans="2:3" ht="15" thickBot="1" x14ac:dyDescent="0.4">
      <c r="B43" s="37" t="s">
        <v>37</v>
      </c>
      <c r="C43" s="39">
        <f>(-44.988)+(0.503*C7)+(10.689*C6)+(3.172*C18)-(0.026*(C18^2))+(0.181*C18*C6)-(0.02*C18*C7)-(0.005*C18^2*C6)+(0.00021*C18^2*C7)</f>
        <v>40.245116821289059</v>
      </c>
    </row>
    <row r="44" spans="2:3" x14ac:dyDescent="0.35">
      <c r="B44" s="31" t="s">
        <v>38</v>
      </c>
      <c r="C44" s="41">
        <f>AVERAGE(C37:C43)</f>
        <v>37.796541339376688</v>
      </c>
    </row>
    <row r="45" spans="2:3" ht="15" thickBot="1" x14ac:dyDescent="0.4">
      <c r="B45" s="42" t="s">
        <v>39</v>
      </c>
      <c r="C45" s="44">
        <f>MEDIAN(C37:C43)</f>
        <v>36.973437499999989</v>
      </c>
    </row>
    <row r="46" spans="2:3" ht="15" thickBot="1" x14ac:dyDescent="0.4">
      <c r="B46" s="6"/>
      <c r="C46" s="6"/>
    </row>
    <row r="47" spans="2:3" x14ac:dyDescent="0.35">
      <c r="B47" s="45" t="s">
        <v>40</v>
      </c>
      <c r="C47" s="47"/>
    </row>
    <row r="48" spans="2:3" x14ac:dyDescent="0.35">
      <c r="B48" s="48" t="s">
        <v>41</v>
      </c>
      <c r="C48" s="50">
        <f>(0.407*C8)+(0.267*C10)-19.2</f>
        <v>54.045000000000002</v>
      </c>
    </row>
    <row r="49" spans="2:3" x14ac:dyDescent="0.35">
      <c r="B49" s="48" t="s">
        <v>42</v>
      </c>
      <c r="C49" s="50">
        <f>(1.1*C8)-(128*(C8/C10)^2)</f>
        <v>54.375</v>
      </c>
    </row>
    <row r="50" spans="2:3" ht="15" thickBot="1" x14ac:dyDescent="0.4">
      <c r="B50" s="51" t="s">
        <v>43</v>
      </c>
      <c r="C50" s="53">
        <f>(0.3281*C8) + (0.33929*C10)-29.5336</f>
        <v>49.360300000000002</v>
      </c>
    </row>
    <row r="51" spans="2:3" x14ac:dyDescent="0.35">
      <c r="B51" s="45" t="s">
        <v>44</v>
      </c>
      <c r="C51" s="55">
        <f>AVERAGE(C48:C50)</f>
        <v>52.593433333333337</v>
      </c>
    </row>
    <row r="52" spans="2:3" ht="15" thickBot="1" x14ac:dyDescent="0.4">
      <c r="B52" s="56" t="s">
        <v>45</v>
      </c>
      <c r="C52" s="58">
        <f>MEDIAN(C48:C50)</f>
        <v>54.045000000000002</v>
      </c>
    </row>
    <row r="53" spans="2:3" ht="15" thickBot="1" x14ac:dyDescent="0.4">
      <c r="B53" s="6"/>
      <c r="C53" s="15"/>
    </row>
    <row r="54" spans="2:3" x14ac:dyDescent="0.35">
      <c r="B54" s="59" t="s">
        <v>46</v>
      </c>
      <c r="C54" s="61"/>
    </row>
    <row r="55" spans="2:3" x14ac:dyDescent="0.35">
      <c r="B55" s="62" t="s">
        <v>47</v>
      </c>
      <c r="C55" s="64">
        <f>(0.988*C18) + (0.344*C8)+(0.094*C5)-30.18</f>
        <v>24.56531249999999</v>
      </c>
    </row>
    <row r="56" spans="2:3" ht="15" thickBot="1" x14ac:dyDescent="0.4">
      <c r="B56" s="65" t="s">
        <v>48</v>
      </c>
      <c r="C56" s="67">
        <f>C8-C52</f>
        <v>20.954999999999998</v>
      </c>
    </row>
    <row r="57" spans="2:3" ht="15" thickBot="1" x14ac:dyDescent="0.4">
      <c r="B57" s="13"/>
      <c r="C57" s="16"/>
    </row>
    <row r="58" spans="2:3" ht="15" thickBot="1" x14ac:dyDescent="0.4">
      <c r="B58" s="68" t="s">
        <v>49</v>
      </c>
      <c r="C58" s="70">
        <f>C51/C11^2</f>
        <v>20.544309895833329</v>
      </c>
    </row>
    <row r="59" spans="2:3" ht="15" thickBot="1" x14ac:dyDescent="0.4">
      <c r="B59" s="13"/>
      <c r="C59" s="13"/>
    </row>
    <row r="60" spans="2:3" ht="15" thickBot="1" x14ac:dyDescent="0.4">
      <c r="B60" s="71" t="s">
        <v>50</v>
      </c>
      <c r="C60" s="73" t="e">
        <f>C13/C14</f>
        <v>#DIV/0!</v>
      </c>
    </row>
    <row r="61" spans="2:3" ht="15" thickBot="1" x14ac:dyDescent="0.4">
      <c r="B61" s="71" t="s">
        <v>51</v>
      </c>
      <c r="C61" s="178">
        <f>C13/C10</f>
        <v>0.57499999999999996</v>
      </c>
    </row>
    <row r="62" spans="2:3" ht="15" thickBot="1" x14ac:dyDescent="0.4">
      <c r="B62" s="13"/>
      <c r="C62" s="13"/>
    </row>
    <row r="63" spans="2:3" x14ac:dyDescent="0.35">
      <c r="B63" s="74" t="s">
        <v>52</v>
      </c>
      <c r="C63" s="76"/>
    </row>
    <row r="64" spans="2:3" x14ac:dyDescent="0.35">
      <c r="B64" s="77" t="s">
        <v>53</v>
      </c>
      <c r="C64" s="79">
        <f>230*((C8^0.48)*(C11^0.5)*(C7^-0.13))</f>
        <v>1485.2223318199792</v>
      </c>
    </row>
    <row r="65" spans="2:3" x14ac:dyDescent="0.35">
      <c r="B65" s="77" t="s">
        <v>54</v>
      </c>
      <c r="C65" s="108">
        <f t="shared" ref="C65" si="8">C64*1.37</f>
        <v>2034.7545945933716</v>
      </c>
    </row>
    <row r="66" spans="2:3" x14ac:dyDescent="0.35">
      <c r="B66" s="77" t="s">
        <v>55</v>
      </c>
      <c r="C66" s="143">
        <f t="shared" ref="C66" si="9">C64*1.55</f>
        <v>2302.094614320968</v>
      </c>
    </row>
    <row r="67" spans="2:3" ht="15" thickBot="1" x14ac:dyDescent="0.4">
      <c r="B67" s="80" t="s">
        <v>56</v>
      </c>
      <c r="C67" s="82">
        <f t="shared" ref="C67" si="10">C64*1.8</f>
        <v>2673.4001972759625</v>
      </c>
    </row>
    <row r="68" spans="2:3" ht="8.25" customHeight="1" x14ac:dyDescent="0.35"/>
  </sheetData>
  <mergeCells count="1">
    <mergeCell ref="B3:C3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67"/>
  <sheetViews>
    <sheetView topLeftCell="A52" workbookViewId="0">
      <selection activeCell="D70" sqref="D70"/>
    </sheetView>
  </sheetViews>
  <sheetFormatPr defaultColWidth="11.453125" defaultRowHeight="14.5" x14ac:dyDescent="0.35"/>
  <cols>
    <col min="1" max="1" width="10.81640625" customWidth="1"/>
    <col min="2" max="2" width="31.26953125" customWidth="1"/>
    <col min="3" max="3" width="16.453125" customWidth="1"/>
  </cols>
  <sheetData>
    <row r="2" spans="2:6" ht="15" thickBot="1" x14ac:dyDescent="0.4"/>
    <row r="3" spans="2:6" ht="21.5" thickBot="1" x14ac:dyDescent="0.55000000000000004">
      <c r="B3" s="242" t="s">
        <v>0</v>
      </c>
      <c r="C3" s="243"/>
      <c r="D3" s="243"/>
      <c r="F3" s="131" t="s">
        <v>111</v>
      </c>
    </row>
    <row r="4" spans="2:6" ht="16" thickBot="1" x14ac:dyDescent="0.4">
      <c r="B4" s="10" t="s">
        <v>1</v>
      </c>
      <c r="C4" s="11" t="s">
        <v>2</v>
      </c>
      <c r="D4" s="127" t="s">
        <v>69</v>
      </c>
      <c r="E4" s="1"/>
      <c r="F4" s="127" t="s">
        <v>69</v>
      </c>
    </row>
    <row r="5" spans="2:6" x14ac:dyDescent="0.35">
      <c r="B5" s="6" t="s">
        <v>4</v>
      </c>
      <c r="C5" s="6">
        <v>1</v>
      </c>
      <c r="D5" s="6">
        <v>1</v>
      </c>
      <c r="F5" s="6">
        <v>1</v>
      </c>
    </row>
    <row r="6" spans="2:6" x14ac:dyDescent="0.35">
      <c r="B6" s="3" t="s">
        <v>4</v>
      </c>
      <c r="C6" s="3">
        <v>0</v>
      </c>
      <c r="D6" s="3">
        <v>0</v>
      </c>
      <c r="F6" s="3">
        <v>0</v>
      </c>
    </row>
    <row r="7" spans="2:6" x14ac:dyDescent="0.35">
      <c r="B7" s="3" t="s">
        <v>5</v>
      </c>
      <c r="C7" s="3">
        <v>30</v>
      </c>
      <c r="D7" s="117">
        <v>28</v>
      </c>
      <c r="F7" s="117">
        <v>28</v>
      </c>
    </row>
    <row r="8" spans="2:6" x14ac:dyDescent="0.35">
      <c r="B8" s="3" t="s">
        <v>6</v>
      </c>
      <c r="C8" s="3">
        <v>70</v>
      </c>
      <c r="D8" s="4">
        <v>90</v>
      </c>
      <c r="F8" s="124">
        <f>D23</f>
        <v>80</v>
      </c>
    </row>
    <row r="9" spans="2:6" x14ac:dyDescent="0.35">
      <c r="B9" s="3" t="s">
        <v>7</v>
      </c>
      <c r="C9" s="2">
        <f>C8*2.20462</f>
        <v>154.32339999999999</v>
      </c>
      <c r="D9" s="2">
        <f>D8*2.20462</f>
        <v>198.41579999999999</v>
      </c>
      <c r="F9" s="2">
        <f>F8*2.20462</f>
        <v>176.36959999999999</v>
      </c>
    </row>
    <row r="10" spans="2:6" x14ac:dyDescent="0.35">
      <c r="B10" s="3" t="s">
        <v>8</v>
      </c>
      <c r="C10" s="3">
        <v>177</v>
      </c>
      <c r="D10" s="4">
        <v>190</v>
      </c>
      <c r="F10" s="4">
        <v>190</v>
      </c>
    </row>
    <row r="11" spans="2:6" x14ac:dyDescent="0.35">
      <c r="B11" s="3" t="s">
        <v>9</v>
      </c>
      <c r="C11" s="3">
        <f xml:space="preserve"> C10/100</f>
        <v>1.77</v>
      </c>
      <c r="D11" s="3">
        <f t="shared" ref="D11:F11" si="0" xml:space="preserve"> D10/100</f>
        <v>1.9</v>
      </c>
      <c r="F11" s="3">
        <f t="shared" si="0"/>
        <v>1.9</v>
      </c>
    </row>
    <row r="12" spans="2:6" x14ac:dyDescent="0.35">
      <c r="B12" s="3" t="s">
        <v>10</v>
      </c>
      <c r="C12" s="2">
        <f>C10/2.54</f>
        <v>69.685039370078741</v>
      </c>
      <c r="D12" s="2">
        <f t="shared" ref="D12:F12" si="1">D10/2.54</f>
        <v>74.803149606299215</v>
      </c>
      <c r="F12" s="2">
        <f t="shared" si="1"/>
        <v>74.803149606299215</v>
      </c>
    </row>
    <row r="13" spans="2:6" x14ac:dyDescent="0.35">
      <c r="B13" s="3" t="s">
        <v>11</v>
      </c>
      <c r="C13" s="3">
        <v>89</v>
      </c>
      <c r="D13" s="4">
        <v>103</v>
      </c>
      <c r="F13" s="4">
        <v>103</v>
      </c>
    </row>
    <row r="14" spans="2:6" x14ac:dyDescent="0.35">
      <c r="B14" s="3" t="s">
        <v>12</v>
      </c>
      <c r="C14" s="3">
        <v>99</v>
      </c>
      <c r="D14" s="4">
        <v>100</v>
      </c>
      <c r="F14" s="4">
        <v>100</v>
      </c>
    </row>
    <row r="15" spans="2:6" x14ac:dyDescent="0.35">
      <c r="B15" s="3" t="s">
        <v>13</v>
      </c>
      <c r="C15" s="3">
        <v>100</v>
      </c>
      <c r="D15" s="4"/>
      <c r="F15" s="4"/>
    </row>
    <row r="16" spans="2:6" x14ac:dyDescent="0.35">
      <c r="B16" s="3" t="s">
        <v>14</v>
      </c>
      <c r="C16" s="3">
        <v>18</v>
      </c>
      <c r="D16" s="4"/>
      <c r="F16" s="4"/>
    </row>
    <row r="17" spans="2:6" ht="15" thickBot="1" x14ac:dyDescent="0.4">
      <c r="B17" s="5"/>
      <c r="C17" s="5"/>
      <c r="D17" s="5"/>
      <c r="F17" s="5"/>
    </row>
    <row r="18" spans="2:6" ht="15" thickBot="1" x14ac:dyDescent="0.4">
      <c r="B18" s="7" t="s">
        <v>15</v>
      </c>
      <c r="C18" s="8">
        <f>C8/C11^2</f>
        <v>22.343515592581952</v>
      </c>
      <c r="D18" s="122">
        <f t="shared" ref="D18:F18" si="2">D8/D11^2</f>
        <v>24.930747922437675</v>
      </c>
      <c r="F18" s="122">
        <f t="shared" si="2"/>
        <v>22.1606648199446</v>
      </c>
    </row>
    <row r="19" spans="2:6" ht="15" thickBot="1" x14ac:dyDescent="0.4">
      <c r="B19" s="13"/>
      <c r="C19" s="13"/>
      <c r="D19" s="13"/>
      <c r="F19" s="13"/>
    </row>
    <row r="20" spans="2:6" x14ac:dyDescent="0.35">
      <c r="B20" s="17" t="s">
        <v>16</v>
      </c>
      <c r="C20" s="18"/>
      <c r="D20" s="118"/>
      <c r="F20" s="118"/>
    </row>
    <row r="21" spans="2:6" x14ac:dyDescent="0.35">
      <c r="B21" s="20" t="s">
        <v>17</v>
      </c>
      <c r="C21" s="21">
        <f>C11^2*22</f>
        <v>68.9238</v>
      </c>
      <c r="D21" s="119">
        <f t="shared" ref="D21:F21" si="3">D11^2*22</f>
        <v>79.42</v>
      </c>
      <c r="F21" s="119">
        <f t="shared" si="3"/>
        <v>79.42</v>
      </c>
    </row>
    <row r="22" spans="2:6" x14ac:dyDescent="0.35">
      <c r="B22" s="20" t="s">
        <v>18</v>
      </c>
      <c r="C22" s="23">
        <f>C10-100</f>
        <v>77</v>
      </c>
      <c r="D22" s="119">
        <f t="shared" ref="D22:F22" si="4">D10-100</f>
        <v>90</v>
      </c>
      <c r="F22" s="119">
        <f t="shared" si="4"/>
        <v>90</v>
      </c>
    </row>
    <row r="23" spans="2:6" x14ac:dyDescent="0.35">
      <c r="B23" s="20" t="s">
        <v>19</v>
      </c>
      <c r="C23" s="23">
        <f>(C10-100)-((C10-150)/4)</f>
        <v>70.25</v>
      </c>
      <c r="D23" s="124">
        <f>(D10-100)-((D10-150)/4)</f>
        <v>80</v>
      </c>
      <c r="F23" s="124">
        <f>(F10-100)-((F10-150)/4)</f>
        <v>80</v>
      </c>
    </row>
    <row r="24" spans="2:6" x14ac:dyDescent="0.35">
      <c r="B24" s="20" t="s">
        <v>20</v>
      </c>
      <c r="C24" s="21">
        <f>50 + (2.3 * (C12-60))</f>
        <v>72.275590551181097</v>
      </c>
      <c r="D24" s="119">
        <f t="shared" ref="D24:F24" si="5">50 + (2.3 * (D12-60))</f>
        <v>84.047244094488192</v>
      </c>
      <c r="F24" s="119">
        <f t="shared" si="5"/>
        <v>84.047244094488192</v>
      </c>
    </row>
    <row r="25" spans="2:6" x14ac:dyDescent="0.35">
      <c r="B25" s="20" t="s">
        <v>21</v>
      </c>
      <c r="C25" s="23">
        <f>((C10-100) + (C7/10))*0.9</f>
        <v>72</v>
      </c>
      <c r="D25" s="119">
        <f t="shared" ref="D25:F25" si="6">((D10-100) + (D7/10))*0.9</f>
        <v>83.52</v>
      </c>
      <c r="F25" s="119">
        <f t="shared" si="6"/>
        <v>83.52</v>
      </c>
    </row>
    <row r="26" spans="2:6" x14ac:dyDescent="0.35">
      <c r="B26" s="20" t="s">
        <v>22</v>
      </c>
      <c r="C26" s="23">
        <f>((C10-100)+(C7/10))*0.9</f>
        <v>72</v>
      </c>
      <c r="D26" s="119">
        <f t="shared" ref="D26:F26" si="7">((D10-100)+(D7/10))*0.9</f>
        <v>83.52</v>
      </c>
      <c r="F26" s="119">
        <f t="shared" si="7"/>
        <v>83.52</v>
      </c>
    </row>
    <row r="27" spans="2:6" x14ac:dyDescent="0.35">
      <c r="B27" s="20" t="s">
        <v>23</v>
      </c>
      <c r="C27" s="23">
        <f>((C10-100)+(C7/10))*0.9^2</f>
        <v>64.800000000000011</v>
      </c>
      <c r="D27" s="119">
        <f t="shared" ref="D27:F27" si="8">((D10-100)+(D7/10))*0.9^2</f>
        <v>75.168000000000006</v>
      </c>
      <c r="F27" s="119">
        <f t="shared" si="8"/>
        <v>75.168000000000006</v>
      </c>
    </row>
    <row r="28" spans="2:6" x14ac:dyDescent="0.35">
      <c r="B28" s="20" t="s">
        <v>24</v>
      </c>
      <c r="C28" s="23">
        <f>((C10-100)+(C7/10))*0.9*1.1</f>
        <v>79.2</v>
      </c>
      <c r="D28" s="119">
        <f t="shared" ref="D28:F28" si="9">((D10-100)+(D7/10))*0.9*1.1</f>
        <v>91.872</v>
      </c>
      <c r="F28" s="119">
        <f t="shared" si="9"/>
        <v>91.872</v>
      </c>
    </row>
    <row r="29" spans="2:6" x14ac:dyDescent="0.35">
      <c r="B29" s="20" t="s">
        <v>25</v>
      </c>
      <c r="C29" s="23">
        <f>((C10-100)+(4*C16))/2</f>
        <v>74.5</v>
      </c>
      <c r="D29" s="119"/>
      <c r="F29" s="119"/>
    </row>
    <row r="30" spans="2:6" x14ac:dyDescent="0.35">
      <c r="B30" s="20" t="s">
        <v>26</v>
      </c>
      <c r="C30" s="23">
        <f>(C10*C15)/240</f>
        <v>73.75</v>
      </c>
      <c r="D30" s="119"/>
      <c r="F30" s="119"/>
    </row>
    <row r="31" spans="2:6" ht="15" thickBot="1" x14ac:dyDescent="0.4">
      <c r="B31" s="25" t="s">
        <v>27</v>
      </c>
      <c r="C31" s="26">
        <f>(-130.736+(4.064*C12))*0.454</f>
        <v>69.218655999999996</v>
      </c>
      <c r="D31" s="120">
        <f>(-130.736+(4.064*D12))*0.454</f>
        <v>78.661856</v>
      </c>
      <c r="F31" s="120">
        <f>(-130.736+(4.064*F12))*0.454</f>
        <v>78.661856</v>
      </c>
    </row>
    <row r="32" spans="2:6" x14ac:dyDescent="0.35">
      <c r="B32" s="17" t="s">
        <v>28</v>
      </c>
      <c r="C32" s="29">
        <f>AVERAGE(C21:C31)</f>
        <v>72.174367868289195</v>
      </c>
      <c r="D32" s="90">
        <f>AVERAGE(D21:D31)</f>
        <v>82.912122232720904</v>
      </c>
      <c r="F32" s="90">
        <f>AVERAGE(F21:F31)</f>
        <v>82.912122232720904</v>
      </c>
    </row>
    <row r="33" spans="2:6" ht="15" thickBot="1" x14ac:dyDescent="0.4">
      <c r="B33" s="28" t="s">
        <v>29</v>
      </c>
      <c r="C33" s="30">
        <f>MEDIAN(C21:C31)</f>
        <v>72</v>
      </c>
      <c r="D33" s="91">
        <f>MEDIAN(D21:D31)</f>
        <v>83.52</v>
      </c>
      <c r="F33" s="91">
        <f>MEDIAN(F21:F31)</f>
        <v>83.52</v>
      </c>
    </row>
    <row r="34" spans="2:6" x14ac:dyDescent="0.35">
      <c r="B34" s="14"/>
      <c r="C34" s="6"/>
      <c r="D34" s="6"/>
      <c r="F34" s="6"/>
    </row>
    <row r="35" spans="2:6" ht="15" thickBot="1" x14ac:dyDescent="0.4">
      <c r="B35" s="5"/>
      <c r="C35" s="5"/>
      <c r="D35" s="5"/>
      <c r="F35" s="5"/>
    </row>
    <row r="36" spans="2:6" x14ac:dyDescent="0.35">
      <c r="B36" s="31" t="s">
        <v>30</v>
      </c>
      <c r="C36" s="32"/>
      <c r="D36" s="32"/>
      <c r="F36" s="32"/>
    </row>
    <row r="37" spans="2:6" x14ac:dyDescent="0.35">
      <c r="B37" s="34" t="s">
        <v>31</v>
      </c>
      <c r="C37" s="35">
        <f xml:space="preserve"> (1.2 * C18) + (0.23*C7) - (10.8*C5) - 5.4</f>
        <v>17.512218711098342</v>
      </c>
      <c r="D37" s="35">
        <f xml:space="preserve"> (1.2 * D18) + (0.23*D7) - (10.8*D5) - 5.4</f>
        <v>20.156897506925205</v>
      </c>
      <c r="F37" s="35">
        <f xml:space="preserve"> (1.2 * F18) + (0.23*F7) - (10.8*F5) - 5.4</f>
        <v>16.832797783933515</v>
      </c>
    </row>
    <row r="38" spans="2:6" x14ac:dyDescent="0.35">
      <c r="B38" s="34" t="s">
        <v>32</v>
      </c>
      <c r="C38" s="35">
        <f>(1.29*C18)+(0.2*C7)-(11.4*C5)-8</f>
        <v>15.423135114430721</v>
      </c>
      <c r="D38" s="123">
        <f>(1.29*D18)+(0.2*D7)-(11.4*D5)-8</f>
        <v>18.360664819944603</v>
      </c>
      <c r="F38" s="123">
        <f>(1.29*F18)+(0.2*F7)-(11.4*F5)-8</f>
        <v>14.787257617728535</v>
      </c>
    </row>
    <row r="39" spans="2:6" x14ac:dyDescent="0.35">
      <c r="B39" s="34" t="s">
        <v>33</v>
      </c>
      <c r="C39" s="35">
        <f>(1.46*C18)+ (0.14*C7)-(11.6*C5)-10</f>
        <v>15.221532765169648</v>
      </c>
      <c r="D39" s="35">
        <f>(1.46*D18)+ (0.14*D7)-(11.6*D5)-10</f>
        <v>18.718891966759003</v>
      </c>
      <c r="F39" s="35">
        <f>(1.46*F18)+ (0.14*F7)-(11.6*F5)-10</f>
        <v>14.674570637119118</v>
      </c>
    </row>
    <row r="40" spans="2:6" x14ac:dyDescent="0.35">
      <c r="B40" s="34" t="s">
        <v>34</v>
      </c>
      <c r="C40" s="35">
        <f>(1.61*C18) + (0.13*C7)-(12.1*C5)-13.9</f>
        <v>13.873060104056938</v>
      </c>
      <c r="D40" s="35">
        <f>(1.61*D18) + (0.13*D7)-(12.1*D5)-13.9</f>
        <v>17.778504155124658</v>
      </c>
      <c r="F40" s="35">
        <f>(1.61*F18) + (0.13*F7)-(12.1*F5)-13.9</f>
        <v>13.318670360110806</v>
      </c>
    </row>
    <row r="41" spans="2:6" x14ac:dyDescent="0.35">
      <c r="B41" s="34" t="s">
        <v>35</v>
      </c>
      <c r="C41" s="35">
        <f>(1.39*C18)+(0.16*C7)-(10.34*C5)-9</f>
        <v>16.517486673688911</v>
      </c>
      <c r="D41" s="35">
        <f>(1.39*D18)+(0.16*D7)-(10.34*D5)-9</f>
        <v>19.793739612188364</v>
      </c>
      <c r="F41" s="35">
        <f>(1.39*F18)+(0.16*F7)-(10.34*F5)-9</f>
        <v>15.943324099722989</v>
      </c>
    </row>
    <row r="42" spans="2:6" x14ac:dyDescent="0.35">
      <c r="B42" s="34" t="s">
        <v>36</v>
      </c>
      <c r="C42" s="35">
        <f>64-((20*C10)/C13)+(12*C6)</f>
        <v>24.224719101123597</v>
      </c>
      <c r="D42" s="35">
        <f>64-((20*D10)/D13)+(12*D6)</f>
        <v>27.106796116504853</v>
      </c>
      <c r="F42" s="35">
        <f>64-((20*F10)/F13)+(12*F6)</f>
        <v>27.106796116504853</v>
      </c>
    </row>
    <row r="43" spans="2:6" ht="15" thickBot="1" x14ac:dyDescent="0.4">
      <c r="B43" s="37" t="s">
        <v>37</v>
      </c>
      <c r="C43" s="38">
        <f>(-44.988)+(0.503*C7)+(10.689*C6)+(3.172*C18)-(0.026*(C18^2))+(0.181*C18*C6)-(0.02*C18*C7)-(0.005*C18^2*C6)+(0.00021*C18^2*C7)</f>
        <v>17.734638130112515</v>
      </c>
      <c r="D43" s="38">
        <f>(-44.988)+(0.503*D7)+(10.689*D6)+(3.172*D18)-(0.026*(D18^2))+(0.181*D18*D6)-(0.02*D18*D7)-(0.005*D18^2*D6)+(0.00021*D18^2*D7)</f>
        <v>21.709684670927949</v>
      </c>
      <c r="F43" s="38">
        <f>(-44.988)+(0.503*F7)+(10.689*F6)+(3.172*F18)-(0.026*(F18^2))+(0.181*F18*F6)-(0.02*F18*F7)-(0.005*F18^2*F6)+(0.00021*F18^2*F7)</f>
        <v>17.098823796625261</v>
      </c>
    </row>
    <row r="44" spans="2:6" x14ac:dyDescent="0.35">
      <c r="B44" s="31" t="s">
        <v>38</v>
      </c>
      <c r="C44" s="40">
        <f>AVERAGE(C37:C43)</f>
        <v>17.215255799954381</v>
      </c>
      <c r="D44" s="40">
        <f>AVERAGE(D37:D43)</f>
        <v>20.517882692624948</v>
      </c>
      <c r="F44" s="40">
        <f>AVERAGE(F37:F43)</f>
        <v>17.108891487392153</v>
      </c>
    </row>
    <row r="45" spans="2:6" ht="15" thickBot="1" x14ac:dyDescent="0.4">
      <c r="B45" s="42" t="s">
        <v>39</v>
      </c>
      <c r="C45" s="43">
        <f>MEDIAN(C37:C43)</f>
        <v>16.517486673688911</v>
      </c>
      <c r="D45" s="43">
        <f>MEDIAN(D37:D43)</f>
        <v>19.793739612188364</v>
      </c>
      <c r="F45" s="43">
        <f>MEDIAN(F37:F43)</f>
        <v>15.943324099722989</v>
      </c>
    </row>
    <row r="46" spans="2:6" ht="15" thickBot="1" x14ac:dyDescent="0.4">
      <c r="B46" s="6"/>
      <c r="C46" s="6"/>
      <c r="D46" s="6"/>
      <c r="F46" s="6"/>
    </row>
    <row r="47" spans="2:6" x14ac:dyDescent="0.35">
      <c r="B47" s="45" t="s">
        <v>40</v>
      </c>
      <c r="C47" s="46"/>
      <c r="D47" s="46"/>
      <c r="F47" s="46"/>
    </row>
    <row r="48" spans="2:6" x14ac:dyDescent="0.35">
      <c r="B48" s="48" t="s">
        <v>41</v>
      </c>
      <c r="C48" s="49">
        <f>(0.407*C8)+(0.267*C10)-19.2</f>
        <v>56.548999999999992</v>
      </c>
      <c r="D48" s="49">
        <f>(0.407*D8)+(0.267*D10)-19.2</f>
        <v>68.16</v>
      </c>
      <c r="F48" s="49">
        <f>(0.407*F8)+(0.267*F10)-19.2</f>
        <v>64.089999999999989</v>
      </c>
    </row>
    <row r="49" spans="2:6" x14ac:dyDescent="0.35">
      <c r="B49" s="48" t="s">
        <v>42</v>
      </c>
      <c r="C49" s="49">
        <f>(1.1*C8)-(128*(C8/C10)^2)</f>
        <v>56.980210029046567</v>
      </c>
      <c r="D49" s="49">
        <f>(1.1*D8)-(128*(D8/D10)^2)</f>
        <v>70.279778393351819</v>
      </c>
      <c r="F49" s="49">
        <f>(1.1*F8)-(128*(F8/F10)^2)</f>
        <v>65.307479224376735</v>
      </c>
    </row>
    <row r="50" spans="2:6" ht="15" thickBot="1" x14ac:dyDescent="0.4">
      <c r="B50" s="51" t="s">
        <v>43</v>
      </c>
      <c r="C50" s="52">
        <f>(0.3281*C8) + (0.33929*C10)-29.5336</f>
        <v>53.487729999999992</v>
      </c>
      <c r="D50" s="52">
        <f>(0.3281*D8) + (0.33929*D10)-29.5336</f>
        <v>64.460499999999996</v>
      </c>
      <c r="F50" s="52">
        <f>(0.3281*F8) + (0.33929*F10)-29.5336</f>
        <v>61.179499999999997</v>
      </c>
    </row>
    <row r="51" spans="2:6" x14ac:dyDescent="0.35">
      <c r="B51" s="45" t="s">
        <v>44</v>
      </c>
      <c r="C51" s="54">
        <f>AVERAGE(C48:C50)</f>
        <v>55.672313343015524</v>
      </c>
      <c r="D51" s="54">
        <f>AVERAGE(D48:D50)</f>
        <v>67.633426131117275</v>
      </c>
      <c r="F51" s="54">
        <f>AVERAGE(F48:F50)</f>
        <v>63.525659741458902</v>
      </c>
    </row>
    <row r="52" spans="2:6" ht="15" thickBot="1" x14ac:dyDescent="0.4">
      <c r="B52" s="56" t="s">
        <v>45</v>
      </c>
      <c r="C52" s="57">
        <f>MEDIAN(C48:C50)</f>
        <v>56.548999999999992</v>
      </c>
      <c r="D52" s="57">
        <f>MEDIAN(D48:D50)</f>
        <v>68.16</v>
      </c>
      <c r="F52" s="57">
        <f>MEDIAN(F48:F50)</f>
        <v>64.089999999999989</v>
      </c>
    </row>
    <row r="53" spans="2:6" ht="15" thickBot="1" x14ac:dyDescent="0.4">
      <c r="B53" s="6"/>
      <c r="C53" s="15"/>
      <c r="D53" s="15"/>
      <c r="F53" s="15"/>
    </row>
    <row r="54" spans="2:6" x14ac:dyDescent="0.35">
      <c r="B54" s="59" t="s">
        <v>46</v>
      </c>
      <c r="C54" s="60"/>
      <c r="D54" s="60"/>
      <c r="F54" s="60"/>
    </row>
    <row r="55" spans="2:6" x14ac:dyDescent="0.35">
      <c r="B55" s="62" t="s">
        <v>47</v>
      </c>
      <c r="C55" s="63">
        <f>(0.988*C18) + (0.242*C8)+(0.094*C7)-30.18</f>
        <v>11.655393405470967</v>
      </c>
      <c r="D55" s="63">
        <f>(0.988*D18) + (0.242*D8)+(0.094*D5)-30.18</f>
        <v>16.325578947368427</v>
      </c>
      <c r="F55" s="63">
        <f>(0.988*F18) + (0.242*F8)+(0.094*F5)-30.18</f>
        <v>11.168736842105261</v>
      </c>
    </row>
    <row r="56" spans="2:6" ht="15" thickBot="1" x14ac:dyDescent="0.4">
      <c r="B56" s="65" t="s">
        <v>48</v>
      </c>
      <c r="C56" s="66">
        <f>C8-C52</f>
        <v>13.451000000000008</v>
      </c>
      <c r="D56" s="66">
        <f>D8-D52</f>
        <v>21.840000000000003</v>
      </c>
      <c r="F56" s="66">
        <f>F8-F52</f>
        <v>15.910000000000011</v>
      </c>
    </row>
    <row r="57" spans="2:6" ht="15" thickBot="1" x14ac:dyDescent="0.4">
      <c r="B57" s="13"/>
      <c r="C57" s="16"/>
      <c r="D57" s="16"/>
      <c r="F57" s="16"/>
    </row>
    <row r="58" spans="2:6" ht="15" thickBot="1" x14ac:dyDescent="0.4">
      <c r="B58" s="68" t="s">
        <v>49</v>
      </c>
      <c r="C58" s="69">
        <f>C51/C11^2</f>
        <v>17.770217160782508</v>
      </c>
      <c r="D58" s="69">
        <f>D51/D11^2</f>
        <v>18.735021088952156</v>
      </c>
      <c r="F58" s="69">
        <f>F51/F11^2</f>
        <v>17.59713566245399</v>
      </c>
    </row>
    <row r="59" spans="2:6" ht="15" thickBot="1" x14ac:dyDescent="0.4">
      <c r="B59" s="13"/>
      <c r="C59" s="13"/>
      <c r="D59" s="13"/>
      <c r="F59" s="13"/>
    </row>
    <row r="60" spans="2:6" ht="15" thickBot="1" x14ac:dyDescent="0.4">
      <c r="B60" s="71" t="s">
        <v>50</v>
      </c>
      <c r="C60" s="72">
        <f>C13/C14</f>
        <v>0.89898989898989901</v>
      </c>
      <c r="D60" s="72">
        <f>D13/D14</f>
        <v>1.03</v>
      </c>
      <c r="F60" s="72">
        <f>F13/F14</f>
        <v>1.03</v>
      </c>
    </row>
    <row r="61" spans="2:6" ht="15" thickBot="1" x14ac:dyDescent="0.4">
      <c r="B61" s="71" t="s">
        <v>51</v>
      </c>
      <c r="C61" s="72">
        <f>C13/C10</f>
        <v>0.50282485875706218</v>
      </c>
      <c r="D61" s="72">
        <f>D13/D10</f>
        <v>0.54210526315789476</v>
      </c>
      <c r="F61" s="72">
        <f>F13/F10</f>
        <v>0.54210526315789476</v>
      </c>
    </row>
    <row r="62" spans="2:6" ht="15" thickBot="1" x14ac:dyDescent="0.4">
      <c r="B62" s="13"/>
      <c r="C62" s="13"/>
      <c r="D62" s="13"/>
      <c r="F62" s="13"/>
    </row>
    <row r="63" spans="2:6" x14ac:dyDescent="0.35">
      <c r="B63" s="74" t="s">
        <v>52</v>
      </c>
      <c r="C63" s="75"/>
      <c r="D63" s="75"/>
      <c r="F63" s="75"/>
    </row>
    <row r="64" spans="2:6" x14ac:dyDescent="0.35">
      <c r="B64" s="77" t="s">
        <v>53</v>
      </c>
      <c r="C64" s="78">
        <f>259*((C8^0.48)*(C11^0.5)*(C7^-0.13))</f>
        <v>1701.7967634254935</v>
      </c>
      <c r="D64" s="78">
        <f>259*((D8^0.48)*(D11^0.5)*(D7^-0.13))</f>
        <v>2007.1619943675805</v>
      </c>
      <c r="F64" s="78">
        <f>259*((F8^0.48)*(F11^0.5)*(F7^-0.13))</f>
        <v>1896.8335136322564</v>
      </c>
    </row>
    <row r="65" spans="2:6" x14ac:dyDescent="0.35">
      <c r="B65" s="77" t="s">
        <v>54</v>
      </c>
      <c r="C65" s="78">
        <f>C64*1.37</f>
        <v>2331.4615658929265</v>
      </c>
      <c r="D65" s="78">
        <f t="shared" ref="D65:F65" si="10">D64*1.37</f>
        <v>2749.8119322835855</v>
      </c>
      <c r="F65" s="78">
        <f t="shared" si="10"/>
        <v>2598.6619136761915</v>
      </c>
    </row>
    <row r="66" spans="2:6" x14ac:dyDescent="0.35">
      <c r="B66" s="77" t="s">
        <v>55</v>
      </c>
      <c r="C66" s="78">
        <f>C64*1.55</f>
        <v>2637.7849833095152</v>
      </c>
      <c r="D66" s="125">
        <f t="shared" ref="D66:F66" si="11">D64*1.55</f>
        <v>3111.1010912697498</v>
      </c>
      <c r="F66" s="125">
        <f t="shared" si="11"/>
        <v>2940.0919461299977</v>
      </c>
    </row>
    <row r="67" spans="2:6" ht="15" thickBot="1" x14ac:dyDescent="0.4">
      <c r="B67" s="80" t="s">
        <v>56</v>
      </c>
      <c r="C67" s="81">
        <f>C64*1.8</f>
        <v>3063.2341741658884</v>
      </c>
      <c r="D67" s="121">
        <f t="shared" ref="D67:F67" si="12">D64*1.8</f>
        <v>3612.8915898616451</v>
      </c>
      <c r="F67" s="121">
        <f t="shared" si="12"/>
        <v>3414.3003245380614</v>
      </c>
    </row>
  </sheetData>
  <mergeCells count="1">
    <mergeCell ref="B3:D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orig</vt:lpstr>
      <vt:lpstr>HOMME</vt:lpstr>
      <vt:lpstr>FEMME</vt:lpstr>
      <vt:lpstr>proteines pures</vt:lpstr>
      <vt:lpstr>CG </vt:lpstr>
      <vt:lpstr>kcal aliment</vt:lpstr>
      <vt:lpstr>Mme_N</vt:lpstr>
      <vt:lpstr>Mme_P</vt:lpstr>
      <vt:lpstr>M_O</vt:lpstr>
      <vt:lpstr>M_J</vt:lpstr>
      <vt:lpstr>M_G21</vt:lpstr>
      <vt:lpstr>AnnaMaria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Orsetti</dc:creator>
  <cp:lastModifiedBy>Tom J</cp:lastModifiedBy>
  <cp:revision/>
  <dcterms:created xsi:type="dcterms:W3CDTF">2022-11-11T10:31:26Z</dcterms:created>
  <dcterms:modified xsi:type="dcterms:W3CDTF">2024-02-11T09:47:59Z</dcterms:modified>
</cp:coreProperties>
</file>